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ml.chartshape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drawings/drawing4.xml" ContentType="application/vnd.openxmlformats-officedocument.drawing+xml"/>
  <Override PartName="/xl/persons/person.xml" ContentType="application/vnd.ms-excel.person+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mc:AlternateContent xmlns:mc="http://schemas.openxmlformats.org/markup-compatibility/2006">
    <mc:Choice Requires="x15">
      <x15ac:absPath xmlns:x15ac="http://schemas.microsoft.com/office/spreadsheetml/2010/11/ac" url="M:\DairyCo MI\Datum from M\Website PB\Prices\Wholesale prices\Cream income to a liquid processor\"/>
    </mc:Choice>
  </mc:AlternateContent>
  <xr:revisionPtr revIDLastSave="0" documentId="13_ncr:1_{E9D09FE4-ABB0-4714-A933-67E334D7AA32}" xr6:coauthVersionLast="47" xr6:coauthVersionMax="47" xr10:uidLastSave="{00000000-0000-0000-0000-000000000000}"/>
  <bookViews>
    <workbookView xWindow="-110" yWindow="-110" windowWidth="19420" windowHeight="11500" tabRatio="699" activeTab="1" xr2:uid="{00000000-000D-0000-FFFF-FFFF00000000}"/>
  </bookViews>
  <sheets>
    <sheet name="Cream income" sheetId="152" r:id="rId1"/>
    <sheet name="Chart" sheetId="150" r:id="rId2"/>
    <sheet name="Table" sheetId="151" r:id="rId3"/>
    <sheet name="Calculation - HIDE" sheetId="147" state="hidden" r:id="rId4"/>
    <sheet name="Retail weightings - HIDE" sheetId="146" state="hidden" r:id="rId5"/>
    <sheet name="Disclaimer and notes" sheetId="157" r:id="rId6"/>
    <sheet name="Disclaimer and notes - ISO" sheetId="158" state="hidden" r:id="rId7"/>
  </sheets>
  <externalReferences>
    <externalReference r:id="rId8"/>
  </externalReferences>
  <definedNames>
    <definedName name="CR_Export_Quarterly_Prices" localSheetId="6">#REF!</definedName>
    <definedName name="CR_Export_Quarterly_Prices">#REF!</definedName>
    <definedName name="CR_Export_Weekly_Prices" localSheetId="6">#REF!</definedName>
    <definedName name="CR_Export_Weekly_Prices">#REF!</definedName>
    <definedName name="CR_Export_Yearly_Prices" localSheetId="6">#REF!</definedName>
    <definedName name="CR_Export_Yearly_Prices">#REF!</definedName>
    <definedName name="Month">[1]Lookups!$A$1:$A$12</definedName>
    <definedName name="Year">[1]Lookups!$C$1:$C$12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E279" i="152" l="1"/>
  <c r="C174" i="147"/>
  <c r="H174" i="147"/>
  <c r="G174" i="147"/>
  <c r="E174" i="147"/>
  <c r="E173" i="147" l="1"/>
  <c r="G173" i="147"/>
  <c r="E278" i="152" l="1"/>
  <c r="G172" i="147"/>
  <c r="H173" i="147" s="1"/>
  <c r="C173" i="147" s="1"/>
  <c r="E172" i="147"/>
  <c r="E277" i="152"/>
  <c r="E276" i="152" l="1"/>
  <c r="C171" i="147" l="1"/>
  <c r="H171" i="147"/>
  <c r="E171" i="147"/>
  <c r="G171" i="147"/>
  <c r="H172" i="147" s="1"/>
  <c r="C172" i="147" s="1"/>
  <c r="E275" i="152" l="1"/>
  <c r="E29" i="146"/>
  <c r="C29" i="146" s="1"/>
  <c r="E170" i="147" s="1"/>
  <c r="F29" i="146"/>
  <c r="I29" i="146" s="1"/>
  <c r="G29" i="146"/>
  <c r="H29" i="146"/>
  <c r="G170" i="147"/>
  <c r="E274" i="152"/>
  <c r="G169" i="147"/>
  <c r="E169" i="147"/>
  <c r="H170" i="147" l="1"/>
  <c r="C170" i="147" s="1"/>
  <c r="G168" i="147"/>
  <c r="H169" i="147" s="1"/>
  <c r="C169" i="147" s="1"/>
  <c r="E168" i="147"/>
  <c r="H168" i="147" s="1"/>
  <c r="E273" i="152"/>
  <c r="E272" i="152"/>
  <c r="E167" i="147" l="1"/>
  <c r="G167" i="147"/>
  <c r="C168" i="147" s="1"/>
  <c r="G166" i="147"/>
  <c r="E271" i="152"/>
  <c r="G165" i="147"/>
  <c r="E166" i="147"/>
  <c r="F28" i="146"/>
  <c r="E28" i="146"/>
  <c r="G28" i="146"/>
  <c r="H28" i="146"/>
  <c r="E270" i="152"/>
  <c r="E165" i="147"/>
  <c r="H166" i="147" l="1"/>
  <c r="H167" i="147"/>
  <c r="C167" i="147" s="1"/>
  <c r="C166" i="147"/>
  <c r="I28" i="146"/>
  <c r="C28" i="146"/>
  <c r="E164" i="147"/>
  <c r="G164" i="147"/>
  <c r="H165" i="147" s="1"/>
  <c r="C165" i="147" s="1"/>
  <c r="E269" i="152"/>
  <c r="E268" i="152"/>
  <c r="G163" i="147"/>
  <c r="E163" i="147"/>
  <c r="E267" i="152"/>
  <c r="E27" i="146"/>
  <c r="G27" i="146"/>
  <c r="H27" i="146"/>
  <c r="F27" i="146"/>
  <c r="E161" i="147"/>
  <c r="G161" i="147"/>
  <c r="G162" i="147"/>
  <c r="E266" i="152"/>
  <c r="E160" i="147"/>
  <c r="G160" i="147"/>
  <c r="C26" i="146"/>
  <c r="H26" i="146"/>
  <c r="G26" i="146"/>
  <c r="F26" i="146"/>
  <c r="E26" i="146"/>
  <c r="G159" i="147"/>
  <c r="G158" i="147"/>
  <c r="E159" i="147"/>
  <c r="E265" i="152"/>
  <c r="E264" i="152"/>
  <c r="E158" i="147"/>
  <c r="E263" i="152"/>
  <c r="E262" i="152"/>
  <c r="E157" i="147"/>
  <c r="G157" i="147"/>
  <c r="G155" i="147"/>
  <c r="G156" i="147"/>
  <c r="H164" i="147" l="1"/>
  <c r="C164" i="147" s="1"/>
  <c r="H163" i="147"/>
  <c r="C163" i="147" s="1"/>
  <c r="C27" i="146"/>
  <c r="E162" i="147" s="1"/>
  <c r="H162" i="147" s="1"/>
  <c r="C162" i="147" s="1"/>
  <c r="I27" i="146"/>
  <c r="H161" i="147"/>
  <c r="C161" i="147" s="1"/>
  <c r="H160" i="147"/>
  <c r="C160" i="147" s="1"/>
  <c r="I26" i="146"/>
  <c r="H159" i="147"/>
  <c r="C159" i="147" s="1"/>
  <c r="H158" i="147"/>
  <c r="C158" i="147" s="1"/>
  <c r="H157" i="147"/>
  <c r="C157" i="147" s="1"/>
  <c r="E156" i="147"/>
  <c r="H156" i="147" s="1"/>
  <c r="E261" i="152"/>
  <c r="E260" i="152"/>
  <c r="G154" i="147"/>
  <c r="E155" i="147"/>
  <c r="H155" i="147" l="1"/>
  <c r="C155" i="147" s="1"/>
  <c r="C156" i="147"/>
  <c r="E25" i="146"/>
  <c r="C25" i="146" s="1"/>
  <c r="E154" i="147" s="1"/>
  <c r="F25" i="146"/>
  <c r="G25" i="146"/>
  <c r="H25" i="146"/>
  <c r="G153" i="147"/>
  <c r="E259" i="152"/>
  <c r="E257" i="152"/>
  <c r="E258" i="152"/>
  <c r="G149" i="147"/>
  <c r="G152" i="147"/>
  <c r="H154" i="147" l="1"/>
  <c r="C154" i="147" s="1"/>
  <c r="I25" i="146"/>
  <c r="E153" i="147"/>
  <c r="H153" i="147" s="1"/>
  <c r="E152" i="147"/>
  <c r="G151" i="147"/>
  <c r="G150" i="147"/>
  <c r="E151" i="147"/>
  <c r="E256" i="152"/>
  <c r="E255" i="152"/>
  <c r="E150" i="147"/>
  <c r="H150" i="147" s="1"/>
  <c r="C150" i="147" s="1"/>
  <c r="H151" i="147" l="1"/>
  <c r="C151" i="147" s="1"/>
  <c r="H152" i="147"/>
  <c r="C152" i="147" s="1"/>
  <c r="C153" i="147"/>
  <c r="F24" i="146"/>
  <c r="E24" i="146"/>
  <c r="N23" i="146"/>
  <c r="M23" i="146"/>
  <c r="E23" i="146" s="1"/>
  <c r="L23" i="146"/>
  <c r="K23" i="146"/>
  <c r="G24" i="146"/>
  <c r="H24" i="146"/>
  <c r="E254" i="152"/>
  <c r="G22" i="146"/>
  <c r="G148" i="147"/>
  <c r="I24" i="146" l="1"/>
  <c r="C24" i="146"/>
  <c r="E253" i="152"/>
  <c r="G146" i="147"/>
  <c r="G147" i="147"/>
  <c r="G135" i="147"/>
  <c r="G136" i="147"/>
  <c r="G137" i="147"/>
  <c r="G138" i="147"/>
  <c r="G139" i="147"/>
  <c r="G140" i="147"/>
  <c r="G141" i="147"/>
  <c r="G142" i="147"/>
  <c r="G143" i="147"/>
  <c r="G144" i="147"/>
  <c r="G145" i="147"/>
  <c r="E252" i="152"/>
  <c r="F23" i="146"/>
  <c r="G23" i="146"/>
  <c r="H23" i="146"/>
  <c r="E251" i="152"/>
  <c r="E250" i="152"/>
  <c r="E248" i="152"/>
  <c r="E249" i="152"/>
  <c r="C23" i="146" l="1"/>
  <c r="E148" i="147"/>
  <c r="H148" i="147" s="1"/>
  <c r="C148" i="147" s="1"/>
  <c r="E149" i="147"/>
  <c r="H149" i="147" s="1"/>
  <c r="C149" i="147" s="1"/>
  <c r="E147" i="147"/>
  <c r="H147" i="147" s="1"/>
  <c r="C147" i="147" s="1"/>
  <c r="I23" i="146"/>
  <c r="E22" i="146"/>
  <c r="C22" i="146" s="1"/>
  <c r="E145" i="147" s="1"/>
  <c r="H145" i="147" s="1"/>
  <c r="C145" i="147" s="1"/>
  <c r="F22" i="146"/>
  <c r="H22" i="146"/>
  <c r="E247" i="152"/>
  <c r="E246" i="152"/>
  <c r="I22" i="146" l="1"/>
  <c r="E142" i="147"/>
  <c r="H142" i="147" s="1"/>
  <c r="C142" i="147" s="1"/>
  <c r="E143" i="147"/>
  <c r="H143" i="147" s="1"/>
  <c r="C143" i="147" s="1"/>
  <c r="E146" i="147"/>
  <c r="H146" i="147" s="1"/>
  <c r="C146" i="147" s="1"/>
  <c r="E144" i="147"/>
  <c r="H144" i="147" s="1"/>
  <c r="C144" i="147" s="1"/>
  <c r="E245" i="152"/>
  <c r="E244" i="152"/>
  <c r="E243" i="152" l="1"/>
  <c r="E242" i="152"/>
  <c r="E241" i="152" l="1"/>
  <c r="G134" i="147"/>
  <c r="E21" i="146"/>
  <c r="G128" i="147" l="1"/>
  <c r="F21" i="146"/>
  <c r="C21" i="146" s="1"/>
  <c r="G21" i="146"/>
  <c r="H21" i="146"/>
  <c r="E239" i="152"/>
  <c r="E240" i="152"/>
  <c r="E136" i="147" l="1"/>
  <c r="H136" i="147" s="1"/>
  <c r="C136" i="147" s="1"/>
  <c r="E141" i="147"/>
  <c r="H141" i="147" s="1"/>
  <c r="C141" i="147" s="1"/>
  <c r="E139" i="147"/>
  <c r="H139" i="147" s="1"/>
  <c r="C139" i="147" s="1"/>
  <c r="E140" i="147"/>
  <c r="H140" i="147" s="1"/>
  <c r="C140" i="147" s="1"/>
  <c r="E138" i="147"/>
  <c r="H138" i="147" s="1"/>
  <c r="C138" i="147" s="1"/>
  <c r="E137" i="147"/>
  <c r="H137" i="147" s="1"/>
  <c r="C137" i="147" s="1"/>
  <c r="I21" i="146"/>
  <c r="E135" i="147"/>
  <c r="H135" i="147" s="1"/>
  <c r="C135" i="147" s="1"/>
  <c r="G133" i="147"/>
  <c r="E238" i="152"/>
  <c r="E236" i="152"/>
  <c r="E237" i="152"/>
  <c r="G131" i="147"/>
  <c r="G132" i="147"/>
  <c r="E235" i="152" l="1"/>
  <c r="G130" i="147"/>
  <c r="E234" i="152"/>
  <c r="G129" i="147"/>
  <c r="E233" i="152"/>
  <c r="E20" i="146"/>
  <c r="C20" i="146" s="1"/>
  <c r="F20" i="146"/>
  <c r="I20" i="146" s="1"/>
  <c r="G20" i="146"/>
  <c r="H20" i="146"/>
  <c r="E232" i="152"/>
  <c r="G127" i="147"/>
  <c r="E231" i="152"/>
  <c r="G126" i="147"/>
  <c r="E228" i="152"/>
  <c r="E229" i="152"/>
  <c r="E230" i="152"/>
  <c r="E134" i="147" l="1"/>
  <c r="H134" i="147" s="1"/>
  <c r="C134" i="147" s="1"/>
  <c r="E133" i="147"/>
  <c r="H133" i="147" s="1"/>
  <c r="C133" i="147" s="1"/>
  <c r="E132" i="147"/>
  <c r="H132" i="147" s="1"/>
  <c r="C132" i="147" s="1"/>
  <c r="E131" i="147"/>
  <c r="H131" i="147" s="1"/>
  <c r="C131" i="147" s="1"/>
  <c r="E130" i="147"/>
  <c r="H130" i="147" s="1"/>
  <c r="C130" i="147" s="1"/>
  <c r="E128" i="147"/>
  <c r="H128" i="147" s="1"/>
  <c r="C128" i="147" s="1"/>
  <c r="E129" i="147"/>
  <c r="H129" i="147" s="1"/>
  <c r="C129" i="147" s="1"/>
  <c r="G125" i="147"/>
  <c r="G124" i="147" l="1"/>
  <c r="E227" i="152"/>
  <c r="G123" i="147"/>
  <c r="G122" i="147" l="1"/>
  <c r="E226" i="152"/>
  <c r="G121" i="147" l="1"/>
  <c r="E225" i="152" l="1"/>
  <c r="G120" i="147"/>
  <c r="E19" i="146"/>
  <c r="F19" i="146"/>
  <c r="G19" i="146"/>
  <c r="H19" i="146"/>
  <c r="E224" i="152"/>
  <c r="G119" i="147"/>
  <c r="G118" i="147"/>
  <c r="E223" i="152"/>
  <c r="G117" i="147"/>
  <c r="C19" i="146" l="1"/>
  <c r="E125" i="147"/>
  <c r="H125" i="147" s="1"/>
  <c r="C125" i="147" s="1"/>
  <c r="E124" i="147"/>
  <c r="H124" i="147" s="1"/>
  <c r="C124" i="147" s="1"/>
  <c r="E122" i="147"/>
  <c r="H122" i="147" s="1"/>
  <c r="C122" i="147" s="1"/>
  <c r="E123" i="147"/>
  <c r="H123" i="147" s="1"/>
  <c r="C123" i="147" s="1"/>
  <c r="E121" i="147"/>
  <c r="H121" i="147" s="1"/>
  <c r="C121" i="147" s="1"/>
  <c r="E120" i="147"/>
  <c r="H120" i="147" s="1"/>
  <c r="C120" i="147" s="1"/>
  <c r="I19" i="146"/>
  <c r="E222" i="152"/>
  <c r="E126" i="147" l="1"/>
  <c r="H126" i="147" s="1"/>
  <c r="C126" i="147" s="1"/>
  <c r="E127" i="147"/>
  <c r="H127" i="147" s="1"/>
  <c r="C127" i="147" s="1"/>
  <c r="G116" i="147"/>
  <c r="E221" i="152"/>
  <c r="G115" i="147"/>
  <c r="E220" i="152" l="1"/>
  <c r="G114" i="147"/>
  <c r="G113" i="147" l="1"/>
  <c r="E219" i="152"/>
  <c r="E218" i="152" l="1"/>
  <c r="G112" i="147"/>
  <c r="E217" i="152" l="1"/>
  <c r="G111" i="147"/>
  <c r="E18" i="146"/>
  <c r="F18" i="146"/>
  <c r="G18" i="146"/>
  <c r="H18" i="146"/>
  <c r="I18" i="146" l="1"/>
  <c r="C18" i="146"/>
  <c r="E119" i="147" s="1"/>
  <c r="H119" i="147" s="1"/>
  <c r="C119" i="147" s="1"/>
  <c r="G110" i="147"/>
  <c r="E216" i="152"/>
  <c r="E115" i="147" l="1"/>
  <c r="E118" i="147"/>
  <c r="H118" i="147" s="1"/>
  <c r="C118" i="147" s="1"/>
  <c r="E117" i="147"/>
  <c r="H117" i="147" s="1"/>
  <c r="C117" i="147" s="1"/>
  <c r="E116" i="147"/>
  <c r="H116" i="147" s="1"/>
  <c r="C116" i="147" s="1"/>
  <c r="E114" i="147"/>
  <c r="H114" i="147" s="1"/>
  <c r="C114" i="147" s="1"/>
  <c r="E112" i="147"/>
  <c r="H112" i="147" s="1"/>
  <c r="C112" i="147" s="1"/>
  <c r="E113" i="147"/>
  <c r="H113" i="147" s="1"/>
  <c r="C113" i="147" s="1"/>
  <c r="E215" i="152"/>
  <c r="G109" i="147"/>
  <c r="H115" i="147" l="1"/>
  <c r="C115" i="147" s="1"/>
  <c r="G108" i="147"/>
  <c r="E214" i="152" l="1"/>
  <c r="E213" i="152" l="1"/>
  <c r="G107" i="147"/>
  <c r="E211" i="152" l="1"/>
  <c r="E212" i="152"/>
  <c r="G106" i="147"/>
  <c r="H17" i="146" l="1"/>
  <c r="E17" i="146"/>
  <c r="F17" i="146"/>
  <c r="G17" i="146"/>
  <c r="G105" i="147"/>
  <c r="I17" i="146" l="1"/>
  <c r="C17" i="146"/>
  <c r="G104" i="147"/>
  <c r="E210" i="152"/>
  <c r="E111" i="147" l="1"/>
  <c r="H111" i="147" s="1"/>
  <c r="C111" i="147" s="1"/>
  <c r="E110" i="147"/>
  <c r="H110" i="147" s="1"/>
  <c r="C110" i="147" s="1"/>
  <c r="E109" i="147"/>
  <c r="H109" i="147" s="1"/>
  <c r="C109" i="147" s="1"/>
  <c r="E108" i="147"/>
  <c r="H108" i="147" s="1"/>
  <c r="C108" i="147" s="1"/>
  <c r="E107" i="147"/>
  <c r="H107" i="147" s="1"/>
  <c r="C107" i="147" s="1"/>
  <c r="E106" i="147"/>
  <c r="H106" i="147" s="1"/>
  <c r="C106" i="147" s="1"/>
  <c r="G103" i="147"/>
  <c r="E209" i="152"/>
  <c r="E208" i="152" l="1"/>
  <c r="G102" i="147"/>
  <c r="G101" i="147" l="1"/>
  <c r="E207" i="152"/>
  <c r="E206" i="152" l="1"/>
  <c r="G100" i="147"/>
  <c r="H16" i="146" l="1"/>
  <c r="G16" i="146"/>
  <c r="F16" i="146"/>
  <c r="E16" i="146"/>
  <c r="C16" i="146" l="1"/>
  <c r="E105" i="147"/>
  <c r="H105" i="147" s="1"/>
  <c r="C105" i="147" s="1"/>
  <c r="E104" i="147"/>
  <c r="H104" i="147" s="1"/>
  <c r="C104" i="147" s="1"/>
  <c r="E103" i="147"/>
  <c r="H103" i="147" s="1"/>
  <c r="C103" i="147" s="1"/>
  <c r="E102" i="147"/>
  <c r="H102" i="147" s="1"/>
  <c r="C102" i="147" s="1"/>
  <c r="E101" i="147"/>
  <c r="H101" i="147" s="1"/>
  <c r="C101" i="147" s="1"/>
  <c r="I16" i="146"/>
  <c r="E205" i="152" l="1"/>
  <c r="G99" i="147"/>
  <c r="E100" i="147" l="1"/>
  <c r="H100" i="147" s="1"/>
  <c r="C100" i="147" s="1"/>
  <c r="G97" i="147" l="1"/>
  <c r="G98" i="147"/>
  <c r="E204" i="152" l="1"/>
  <c r="E203" i="152" l="1"/>
  <c r="E202" i="152" l="1"/>
  <c r="G96" i="147"/>
  <c r="E15" i="146" l="1"/>
  <c r="F15" i="146"/>
  <c r="G15" i="146"/>
  <c r="H15" i="146"/>
  <c r="I15" i="146" l="1"/>
  <c r="C15" i="146"/>
  <c r="E96" i="147" s="1"/>
  <c r="G95" i="147"/>
  <c r="E201" i="152"/>
  <c r="E99" i="147" l="1"/>
  <c r="H99" i="147" s="1"/>
  <c r="C99" i="147" s="1"/>
  <c r="E98" i="147"/>
  <c r="H98" i="147" s="1"/>
  <c r="C98" i="147" s="1"/>
  <c r="E97" i="147"/>
  <c r="H97" i="147" s="1"/>
  <c r="C97" i="147" s="1"/>
  <c r="H96" i="147"/>
  <c r="C96" i="147" s="1"/>
  <c r="E200" i="152"/>
  <c r="G94" i="147"/>
  <c r="E6" i="151" l="1"/>
  <c r="D6" i="151"/>
  <c r="F4" i="151"/>
  <c r="E199" i="152"/>
  <c r="E198" i="152"/>
  <c r="E197" i="152"/>
  <c r="E196" i="152"/>
  <c r="E195" i="152"/>
  <c r="E194" i="152"/>
  <c r="E193" i="152"/>
  <c r="E192" i="152"/>
  <c r="E191" i="152"/>
  <c r="E190" i="152"/>
  <c r="E189" i="152"/>
  <c r="E188" i="152"/>
  <c r="E187" i="152"/>
  <c r="E186" i="152"/>
  <c r="E185" i="152"/>
  <c r="E184" i="152"/>
  <c r="E183" i="152"/>
  <c r="E182" i="152"/>
  <c r="E181" i="152"/>
  <c r="E180" i="152"/>
  <c r="E179" i="152"/>
  <c r="E178" i="152"/>
  <c r="E177" i="152"/>
  <c r="E176" i="152"/>
  <c r="E175" i="152"/>
  <c r="E174" i="152"/>
  <c r="E173" i="152"/>
  <c r="E172" i="152"/>
  <c r="E171" i="152"/>
  <c r="E170" i="152"/>
  <c r="E169" i="152"/>
  <c r="E168" i="152"/>
  <c r="E167" i="152"/>
  <c r="E166" i="152"/>
  <c r="E165" i="152"/>
  <c r="E164" i="152"/>
  <c r="E163" i="152"/>
  <c r="E162" i="152"/>
  <c r="E161" i="152"/>
  <c r="E160" i="152"/>
  <c r="E159" i="152"/>
  <c r="E158" i="152"/>
  <c r="E157" i="152"/>
  <c r="E156" i="152"/>
  <c r="E155" i="152"/>
  <c r="E154" i="152"/>
  <c r="E153" i="152"/>
  <c r="E152" i="152"/>
  <c r="E151" i="152"/>
  <c r="E150" i="152"/>
  <c r="E149" i="152"/>
  <c r="E148" i="152"/>
  <c r="E147" i="152"/>
  <c r="E146" i="152"/>
  <c r="E145" i="152"/>
  <c r="E144" i="152"/>
  <c r="E143" i="152"/>
  <c r="E142" i="152"/>
  <c r="E141" i="152"/>
  <c r="E140" i="152"/>
  <c r="E139" i="152"/>
  <c r="E138" i="152"/>
  <c r="E137" i="152"/>
  <c r="E136" i="152"/>
  <c r="E135" i="152"/>
  <c r="E134" i="152"/>
  <c r="E133" i="152"/>
  <c r="E132" i="152"/>
  <c r="E131" i="152"/>
  <c r="E130" i="152"/>
  <c r="E129" i="152"/>
  <c r="E128" i="152"/>
  <c r="E127" i="152"/>
  <c r="E126" i="152"/>
  <c r="E125" i="152"/>
  <c r="E124" i="152"/>
  <c r="E123" i="152"/>
  <c r="E122" i="152"/>
  <c r="E121" i="152"/>
  <c r="E120" i="152"/>
  <c r="E119" i="152"/>
  <c r="E118" i="152"/>
  <c r="E117" i="152"/>
  <c r="E116" i="152"/>
  <c r="E115" i="152"/>
  <c r="E114" i="152"/>
  <c r="E113" i="152"/>
  <c r="E112" i="152"/>
  <c r="E111" i="152"/>
  <c r="E110" i="152"/>
  <c r="E109" i="152"/>
  <c r="E108" i="152"/>
  <c r="E107" i="152"/>
  <c r="E106" i="152"/>
  <c r="E105" i="152"/>
  <c r="E104" i="152"/>
  <c r="E103" i="152"/>
  <c r="E102" i="152"/>
  <c r="E101" i="152"/>
  <c r="E100" i="152"/>
  <c r="E99" i="152"/>
  <c r="E98" i="152"/>
  <c r="E97" i="152"/>
  <c r="E96" i="152"/>
  <c r="E95" i="152"/>
  <c r="E94" i="152"/>
  <c r="E93" i="152"/>
  <c r="E92" i="152"/>
  <c r="E91" i="152"/>
  <c r="E90" i="152"/>
  <c r="E89" i="152"/>
  <c r="E88" i="152"/>
  <c r="E87" i="152"/>
  <c r="E86" i="152"/>
  <c r="E85" i="152"/>
  <c r="E84" i="152"/>
  <c r="E83" i="152"/>
  <c r="E82" i="152"/>
  <c r="E81" i="152"/>
  <c r="E80" i="152"/>
  <c r="E79" i="152"/>
  <c r="E78" i="152"/>
  <c r="E77" i="152"/>
  <c r="E76" i="152"/>
  <c r="E75" i="152"/>
  <c r="E74" i="152"/>
  <c r="E73" i="152"/>
  <c r="E72" i="152"/>
  <c r="E71" i="152"/>
  <c r="E70" i="152"/>
  <c r="E69" i="152"/>
  <c r="E68" i="152"/>
  <c r="E67" i="152"/>
  <c r="E66" i="152"/>
  <c r="E65" i="152"/>
  <c r="E64" i="152"/>
  <c r="E63" i="152"/>
  <c r="E62" i="152"/>
  <c r="E61" i="152"/>
  <c r="E60" i="152"/>
  <c r="E59" i="152"/>
  <c r="E58" i="152"/>
  <c r="E57" i="152"/>
  <c r="E56" i="152"/>
  <c r="E55" i="152"/>
  <c r="E54" i="152"/>
  <c r="E53" i="152"/>
  <c r="E52" i="152"/>
  <c r="E51" i="152"/>
  <c r="E50" i="152"/>
  <c r="E49" i="152"/>
  <c r="E48" i="152"/>
  <c r="E47" i="152"/>
  <c r="E46" i="152"/>
  <c r="E45" i="152"/>
  <c r="E44" i="152"/>
  <c r="E43" i="152"/>
  <c r="E42" i="152"/>
  <c r="E41" i="152"/>
  <c r="E40" i="152"/>
  <c r="E39" i="152"/>
  <c r="E38" i="152"/>
  <c r="E37" i="152"/>
  <c r="E36" i="152"/>
  <c r="E35" i="152"/>
  <c r="E34" i="152"/>
  <c r="E33" i="152"/>
  <c r="E32" i="152"/>
  <c r="E31" i="152"/>
  <c r="E30" i="152"/>
  <c r="E29" i="152"/>
  <c r="E28" i="152"/>
  <c r="E27" i="152"/>
  <c r="E26" i="152"/>
  <c r="E25" i="152"/>
  <c r="E24" i="152"/>
  <c r="E23" i="152"/>
  <c r="E22" i="152"/>
  <c r="E21" i="152"/>
  <c r="E20" i="152"/>
  <c r="E19" i="152"/>
  <c r="E18" i="152"/>
  <c r="E17" i="152"/>
  <c r="E16" i="152"/>
  <c r="E15" i="152"/>
  <c r="E14" i="152"/>
  <c r="E13" i="152"/>
  <c r="E12" i="152"/>
  <c r="E11" i="152"/>
  <c r="E10" i="152"/>
  <c r="G86" i="147" l="1"/>
  <c r="G87" i="147"/>
  <c r="G88" i="147"/>
  <c r="G89" i="147"/>
  <c r="G90" i="147"/>
  <c r="G91" i="147"/>
  <c r="G92" i="147"/>
  <c r="G93" i="147"/>
  <c r="E14" i="146" l="1"/>
  <c r="F14" i="146"/>
  <c r="G14" i="146"/>
  <c r="H14" i="146"/>
  <c r="C14" i="146" l="1"/>
  <c r="E95" i="147" s="1"/>
  <c r="H95" i="147" s="1"/>
  <c r="C95" i="147" s="1"/>
  <c r="I14" i="146"/>
  <c r="E92" i="147"/>
  <c r="H92" i="147" s="1"/>
  <c r="C92" i="147" s="1"/>
  <c r="E90" i="147" l="1"/>
  <c r="H90" i="147" s="1"/>
  <c r="C90" i="147" s="1"/>
  <c r="E91" i="147"/>
  <c r="H91" i="147" s="1"/>
  <c r="C91" i="147" s="1"/>
  <c r="E93" i="147"/>
  <c r="H93" i="147" s="1"/>
  <c r="C93" i="147" s="1"/>
  <c r="E94" i="147"/>
  <c r="H94" i="147" s="1"/>
  <c r="C94" i="147" s="1"/>
  <c r="G85" i="147" l="1"/>
  <c r="G84" i="147" l="1"/>
  <c r="G83" i="147"/>
  <c r="G82" i="147"/>
  <c r="C8" i="151" l="1"/>
  <c r="D8" i="151" s="1"/>
  <c r="C7" i="151"/>
  <c r="D7" i="151" l="1"/>
  <c r="E7" i="151"/>
  <c r="F7" i="151" s="1"/>
  <c r="E8" i="151"/>
  <c r="F8" i="151" s="1"/>
  <c r="E13" i="146"/>
  <c r="F13" i="146"/>
  <c r="G13" i="146"/>
  <c r="H13" i="146"/>
  <c r="C13" i="146" l="1"/>
  <c r="I13" i="146"/>
  <c r="E89" i="147" l="1"/>
  <c r="H89" i="147" s="1"/>
  <c r="C89" i="147" s="1"/>
  <c r="E88" i="147"/>
  <c r="H88" i="147" s="1"/>
  <c r="C88" i="147" s="1"/>
  <c r="E87" i="147"/>
  <c r="H87" i="147" s="1"/>
  <c r="C87" i="147" s="1"/>
  <c r="E86" i="147"/>
  <c r="H86" i="147" s="1"/>
  <c r="C86" i="147" s="1"/>
  <c r="E84" i="147"/>
  <c r="H84" i="147" s="1"/>
  <c r="C84" i="147" s="1"/>
  <c r="E85" i="147"/>
  <c r="H85" i="147" s="1"/>
  <c r="C85" i="147" s="1"/>
  <c r="H12" i="146" l="1"/>
  <c r="H11" i="146"/>
  <c r="H10" i="146"/>
  <c r="H9" i="146"/>
  <c r="H8" i="146"/>
  <c r="G12" i="146"/>
  <c r="G11" i="146"/>
  <c r="G10" i="146"/>
  <c r="G9" i="146"/>
  <c r="G8" i="146"/>
  <c r="F12" i="146"/>
  <c r="F11" i="146"/>
  <c r="F10" i="146"/>
  <c r="F9" i="146"/>
  <c r="F8" i="146"/>
  <c r="E12" i="146"/>
  <c r="E11" i="146"/>
  <c r="E10" i="146"/>
  <c r="E9" i="146"/>
  <c r="E8" i="146"/>
  <c r="C11" i="146" l="1"/>
  <c r="I12" i="146" l="1"/>
  <c r="I11" i="146"/>
  <c r="I10" i="146"/>
  <c r="I9" i="146"/>
  <c r="I8" i="146"/>
  <c r="I7" i="146"/>
  <c r="I6" i="146"/>
  <c r="I5" i="146"/>
  <c r="I4" i="146"/>
  <c r="G81" i="147"/>
  <c r="G80" i="147"/>
  <c r="G79" i="147"/>
  <c r="G78" i="147"/>
  <c r="G77" i="147"/>
  <c r="G76" i="147"/>
  <c r="G75" i="147"/>
  <c r="G74" i="147"/>
  <c r="G73" i="147"/>
  <c r="G72" i="147"/>
  <c r="G71" i="147"/>
  <c r="G70" i="147"/>
  <c r="G69" i="147"/>
  <c r="G68" i="147"/>
  <c r="G67" i="147"/>
  <c r="G66" i="147"/>
  <c r="G65" i="147"/>
  <c r="G64" i="147"/>
  <c r="G63" i="147"/>
  <c r="G62" i="147"/>
  <c r="G61" i="147"/>
  <c r="G60" i="147"/>
  <c r="G59" i="147"/>
  <c r="G58" i="147"/>
  <c r="G57" i="147"/>
  <c r="G56" i="147"/>
  <c r="G55" i="147"/>
  <c r="G54" i="147"/>
  <c r="G53" i="147"/>
  <c r="G52" i="147"/>
  <c r="G51" i="147"/>
  <c r="G50" i="147"/>
  <c r="G49" i="147"/>
  <c r="G48" i="147"/>
  <c r="G47" i="147"/>
  <c r="G46" i="147"/>
  <c r="G45" i="147"/>
  <c r="G44" i="147"/>
  <c r="G43" i="147"/>
  <c r="G42" i="147"/>
  <c r="G41" i="147"/>
  <c r="G40" i="147"/>
  <c r="G39" i="147"/>
  <c r="G38" i="147"/>
  <c r="G37" i="147"/>
  <c r="G36" i="147"/>
  <c r="G35" i="147"/>
  <c r="G34" i="147"/>
  <c r="G33" i="147"/>
  <c r="G32" i="147"/>
  <c r="G31" i="147"/>
  <c r="G30" i="147"/>
  <c r="G29" i="147"/>
  <c r="G28" i="147"/>
  <c r="G27" i="147"/>
  <c r="G26" i="147"/>
  <c r="G25" i="147"/>
  <c r="G24" i="147"/>
  <c r="G23" i="147"/>
  <c r="G22" i="147"/>
  <c r="G21" i="147"/>
  <c r="G20" i="147"/>
  <c r="G19" i="147"/>
  <c r="G18" i="147"/>
  <c r="G17" i="147"/>
  <c r="G16" i="147"/>
  <c r="G15" i="147"/>
  <c r="G14" i="147"/>
  <c r="C12" i="146"/>
  <c r="C10" i="146"/>
  <c r="C9" i="146"/>
  <c r="E65" i="147" s="1"/>
  <c r="H65" i="147" s="1"/>
  <c r="C8" i="146"/>
  <c r="E54" i="147" s="1"/>
  <c r="C7" i="146"/>
  <c r="E46" i="147" s="1"/>
  <c r="C6" i="146"/>
  <c r="E38" i="147" s="1"/>
  <c r="C5" i="146"/>
  <c r="E22" i="147" s="1"/>
  <c r="C4" i="146"/>
  <c r="H22" i="147" l="1"/>
  <c r="C22" i="147" s="1"/>
  <c r="E62" i="147"/>
  <c r="H62" i="147" s="1"/>
  <c r="H46" i="147"/>
  <c r="C46" i="147" s="1"/>
  <c r="H54" i="147"/>
  <c r="C54" i="147" s="1"/>
  <c r="E14" i="147"/>
  <c r="H14" i="147" s="1"/>
  <c r="E3" i="147"/>
  <c r="E4" i="147"/>
  <c r="H4" i="147" s="1"/>
  <c r="E5" i="147"/>
  <c r="H5" i="147" s="1"/>
  <c r="H38" i="147"/>
  <c r="C38" i="147" s="1"/>
  <c r="E64" i="147"/>
  <c r="H64" i="147" s="1"/>
  <c r="E66" i="147"/>
  <c r="H66" i="147" s="1"/>
  <c r="E25" i="147"/>
  <c r="E74" i="147"/>
  <c r="H74" i="147" s="1"/>
  <c r="E78" i="147"/>
  <c r="H78" i="147" s="1"/>
  <c r="E79" i="147"/>
  <c r="H79" i="147" s="1"/>
  <c r="E59" i="147"/>
  <c r="H59" i="147" s="1"/>
  <c r="E55" i="147"/>
  <c r="H55" i="147" s="1"/>
  <c r="E57" i="147"/>
  <c r="H57" i="147" s="1"/>
  <c r="E49" i="147"/>
  <c r="H49" i="147" s="1"/>
  <c r="E18" i="147"/>
  <c r="H18" i="147" s="1"/>
  <c r="E58" i="147"/>
  <c r="E23" i="147"/>
  <c r="E63" i="147"/>
  <c r="H63" i="147" s="1"/>
  <c r="E26" i="147"/>
  <c r="E71" i="147"/>
  <c r="H71" i="147" s="1"/>
  <c r="E47" i="147"/>
  <c r="H47" i="147" s="1"/>
  <c r="E73" i="147"/>
  <c r="H73" i="147" s="1"/>
  <c r="E31" i="147"/>
  <c r="E39" i="147"/>
  <c r="E8" i="147"/>
  <c r="H8" i="147" s="1"/>
  <c r="E16" i="147"/>
  <c r="H16" i="147" s="1"/>
  <c r="E24" i="147"/>
  <c r="E32" i="147"/>
  <c r="E40" i="147"/>
  <c r="E48" i="147"/>
  <c r="E56" i="147"/>
  <c r="E72" i="147"/>
  <c r="H72" i="147" s="1"/>
  <c r="E80" i="147"/>
  <c r="H80" i="147" s="1"/>
  <c r="E9" i="147"/>
  <c r="H9" i="147" s="1"/>
  <c r="E50" i="147"/>
  <c r="E15" i="147"/>
  <c r="H15" i="147" s="1"/>
  <c r="E17" i="147"/>
  <c r="H17" i="147" s="1"/>
  <c r="E81" i="147"/>
  <c r="H81" i="147" s="1"/>
  <c r="E10" i="147"/>
  <c r="H10" i="147" s="1"/>
  <c r="E42" i="147"/>
  <c r="E82" i="147"/>
  <c r="H82" i="147" s="1"/>
  <c r="E11" i="147"/>
  <c r="H11" i="147" s="1"/>
  <c r="E19" i="147"/>
  <c r="H19" i="147" s="1"/>
  <c r="E27" i="147"/>
  <c r="E35" i="147"/>
  <c r="E43" i="147"/>
  <c r="H43" i="147" s="1"/>
  <c r="E51" i="147"/>
  <c r="H51" i="147" s="1"/>
  <c r="E67" i="147"/>
  <c r="H67" i="147" s="1"/>
  <c r="E75" i="147"/>
  <c r="H75" i="147" s="1"/>
  <c r="E83" i="147"/>
  <c r="E41" i="147"/>
  <c r="H41" i="147" s="1"/>
  <c r="E12" i="147"/>
  <c r="H12" i="147" s="1"/>
  <c r="E20" i="147"/>
  <c r="H20" i="147" s="1"/>
  <c r="E28" i="147"/>
  <c r="E36" i="147"/>
  <c r="E44" i="147"/>
  <c r="E52" i="147"/>
  <c r="E60" i="147"/>
  <c r="H60" i="147" s="1"/>
  <c r="E68" i="147"/>
  <c r="H68" i="147" s="1"/>
  <c r="E76" i="147"/>
  <c r="H76" i="147" s="1"/>
  <c r="E34" i="147"/>
  <c r="E13" i="147"/>
  <c r="H13" i="147" s="1"/>
  <c r="E21" i="147"/>
  <c r="E29" i="147"/>
  <c r="E37" i="147"/>
  <c r="E45" i="147"/>
  <c r="H45" i="147" s="1"/>
  <c r="E53" i="147"/>
  <c r="H53" i="147" s="1"/>
  <c r="E61" i="147"/>
  <c r="H61" i="147" s="1"/>
  <c r="E69" i="147"/>
  <c r="H69" i="147" s="1"/>
  <c r="E77" i="147"/>
  <c r="H77" i="147" s="1"/>
  <c r="E7" i="147"/>
  <c r="H7" i="147" s="1"/>
  <c r="E33" i="147"/>
  <c r="E6" i="147"/>
  <c r="H6" i="147" s="1"/>
  <c r="E30" i="147"/>
  <c r="E70" i="147"/>
  <c r="H70" i="147" s="1"/>
  <c r="H58" i="147" l="1"/>
  <c r="C58" i="147" s="1"/>
  <c r="H56" i="147"/>
  <c r="C56" i="147" s="1"/>
  <c r="H26" i="147"/>
  <c r="C26" i="147" s="1"/>
  <c r="H30" i="147"/>
  <c r="C30" i="147" s="1"/>
  <c r="H48" i="147"/>
  <c r="C48" i="147" s="1"/>
  <c r="H33" i="147"/>
  <c r="C33" i="147" s="1"/>
  <c r="H29" i="147"/>
  <c r="C29" i="147" s="1"/>
  <c r="H44" i="147"/>
  <c r="C44" i="147" s="1"/>
  <c r="H27" i="147"/>
  <c r="C27" i="147" s="1"/>
  <c r="H42" i="147"/>
  <c r="C42" i="147" s="1"/>
  <c r="H32" i="147"/>
  <c r="C32" i="147" s="1"/>
  <c r="H39" i="147"/>
  <c r="C39" i="147" s="1"/>
  <c r="H21" i="147"/>
  <c r="C21" i="147" s="1"/>
  <c r="H36" i="147"/>
  <c r="C36" i="147" s="1"/>
  <c r="H50" i="147"/>
  <c r="C50" i="147" s="1"/>
  <c r="H24" i="147"/>
  <c r="C24" i="147" s="1"/>
  <c r="H31" i="147"/>
  <c r="C31" i="147" s="1"/>
  <c r="H25" i="147"/>
  <c r="C25" i="147" s="1"/>
  <c r="H28" i="147"/>
  <c r="C28" i="147" s="1"/>
  <c r="H83" i="147"/>
  <c r="C83" i="147" s="1"/>
  <c r="H37" i="147"/>
  <c r="C37" i="147" s="1"/>
  <c r="H34" i="147"/>
  <c r="C34" i="147" s="1"/>
  <c r="H52" i="147"/>
  <c r="C52" i="147" s="1"/>
  <c r="H35" i="147"/>
  <c r="C35" i="147" s="1"/>
  <c r="H40" i="147"/>
  <c r="C40" i="147" s="1"/>
  <c r="H23" i="147"/>
  <c r="C23" i="147" s="1"/>
  <c r="C41" i="147"/>
  <c r="C43" i="147"/>
  <c r="C45" i="147"/>
  <c r="C47" i="147"/>
  <c r="C49" i="147"/>
  <c r="C51" i="147"/>
  <c r="C53" i="147"/>
  <c r="C55" i="147"/>
  <c r="C57" i="147"/>
  <c r="C59" i="147"/>
  <c r="C61" i="147"/>
  <c r="C63" i="147"/>
  <c r="C60" i="147"/>
  <c r="C62" i="147"/>
  <c r="C64" i="147"/>
  <c r="C65" i="147"/>
  <c r="C66" i="147"/>
  <c r="C67" i="147"/>
  <c r="C68" i="147"/>
  <c r="C69" i="147"/>
  <c r="C70" i="147"/>
  <c r="C71" i="147"/>
  <c r="C72" i="147"/>
  <c r="C73" i="147"/>
  <c r="C74" i="147"/>
  <c r="C75" i="147"/>
  <c r="C76" i="147"/>
  <c r="C77" i="147"/>
  <c r="C78" i="147"/>
  <c r="C79" i="147"/>
  <c r="C80" i="147"/>
  <c r="C81" i="147"/>
  <c r="C82" i="147"/>
  <c r="C13" i="147" l="1"/>
  <c r="C5" i="147"/>
  <c r="C12" i="147"/>
  <c r="C19" i="147"/>
  <c r="C11" i="147"/>
  <c r="H3" i="147"/>
  <c r="C3" i="147" s="1"/>
  <c r="C9" i="147"/>
  <c r="C16" i="147"/>
  <c r="C4" i="147"/>
  <c r="C18" i="147"/>
  <c r="C10" i="147"/>
  <c r="C17" i="147"/>
  <c r="C8" i="147"/>
  <c r="C15" i="147"/>
  <c r="C7" i="147"/>
  <c r="C14" i="147"/>
  <c r="C6" i="147"/>
  <c r="C20" i="14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tc={224AE922-5A1B-42C5-BF1F-D8C69B8A18D1}</author>
    <author>tc={D09A885C-8365-4061-B2CB-CCEE9D6BF3D8}</author>
    <author>tc={F4687C3C-E46D-4D5F-9364-725A69F67C60}</author>
  </authors>
  <commentList>
    <comment ref="C1" authorId="0" shapeId="0" xr:uid="{224AE922-5A1B-42C5-BF1F-D8C69B8A18D1}">
      <text>
        <t>[Threaded comment]
Your version of Excel allows you to read this threaded comment; however, any edits to it will get removed if the file is opened in a newer version of Excel. Learn more: https://go.microsoft.com/fwlink/?linkid=870924
Comment:
    calculation</t>
      </text>
    </comment>
    <comment ref="G1" authorId="1" shapeId="0" xr:uid="{D09A885C-8365-4061-B2CB-CCEE9D6BF3D8}">
      <text>
        <t>[Threaded comment]
Your version of Excel allows you to read this threaded comment; however, any edits to it will get removed if the file is opened in a newer version of Excel. Learn more: https://go.microsoft.com/fwlink/?linkid=870924
Comment:
    calculation</t>
      </text>
    </comment>
    <comment ref="H2" authorId="2" shapeId="0" xr:uid="{F4687C3C-E46D-4D5F-9364-725A69F67C60}">
      <text>
        <t>[Threaded comment]
Your version of Excel allows you to read this threaded comment; however, any edits to it will get removed if the file is opened in a newer version of Excel. Learn more: https://go.microsoft.com/fwlink/?linkid=870924
Comment:
    calculation</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tc={B8DAA4EF-771C-4B49-B5FA-6DFAD4531485}</author>
    <author>tc={664E73BC-786F-45FC-A901-45D41D1E0EE1}</author>
    <author>tc={0A81E762-93A1-471D-B0E5-44CB19304E86}</author>
    <author>tc={248C027A-4251-45B5-ADFE-A62FC0ABF656}</author>
  </authors>
  <commentList>
    <comment ref="K23" authorId="0" shapeId="0" xr:uid="{B8DAA4EF-771C-4B49-B5FA-6DFAD4531485}">
      <text>
        <t>[Threaded comment]
Your version of Excel allows you to read this threaded comment; however, any edits to it will get removed if the file is opened in a newer version of Excel. Learn more: https://go.microsoft.com/fwlink/?linkid=870924
Comment:
    12 week rather than 52 week data</t>
      </text>
    </comment>
    <comment ref="L23" authorId="1" shapeId="0" xr:uid="{664E73BC-786F-45FC-A901-45D41D1E0EE1}">
      <text>
        <t>[Threaded comment]
Your version of Excel allows you to read this threaded comment; however, any edits to it will get removed if the file is opened in a newer version of Excel. Learn more: https://go.microsoft.com/fwlink/?linkid=870924
Comment:
    12 week data</t>
      </text>
    </comment>
    <comment ref="M23" authorId="2" shapeId="0" xr:uid="{0A81E762-93A1-471D-B0E5-44CB19304E86}">
      <text>
        <t>[Threaded comment]
Your version of Excel allows you to read this threaded comment; however, any edits to it will get removed if the file is opened in a newer version of Excel. Learn more: https://go.microsoft.com/fwlink/?linkid=870924
Comment:
    12 week data</t>
      </text>
    </comment>
    <comment ref="N23" authorId="3" shapeId="0" xr:uid="{248C027A-4251-45B5-ADFE-A62FC0ABF656}">
      <text>
        <t>[Threaded comment]
Your version of Excel allows you to read this threaded comment; however, any edits to it will get removed if the file is opened in a newer version of Excel. Learn more: https://go.microsoft.com/fwlink/?linkid=870924
Comment:
    12 week data</t>
      </text>
    </comment>
  </commentList>
</comments>
</file>

<file path=xl/sharedStrings.xml><?xml version="1.0" encoding="utf-8"?>
<sst xmlns="http://schemas.openxmlformats.org/spreadsheetml/2006/main" count="93" uniqueCount="72">
  <si>
    <t>Whole</t>
  </si>
  <si>
    <t>Semi</t>
  </si>
  <si>
    <t>Skim</t>
  </si>
  <si>
    <t>Month</t>
  </si>
  <si>
    <t>£/tonne</t>
  </si>
  <si>
    <t>ppl cream income</t>
  </si>
  <si>
    <t>2011/12</t>
  </si>
  <si>
    <t>2012/13</t>
  </si>
  <si>
    <t>2013/14</t>
  </si>
  <si>
    <t>2014/15</t>
  </si>
  <si>
    <t>Spare cream</t>
  </si>
  <si>
    <t>kgs/lit</t>
  </si>
  <si>
    <t>(tester)</t>
  </si>
  <si>
    <t>Fat %</t>
  </si>
  <si>
    <t>av bfat %</t>
  </si>
  <si>
    <t>Fat in liquid milk %</t>
  </si>
  <si>
    <t>UK average BF %</t>
  </si>
  <si>
    <t>12-month rolling average BF %</t>
  </si>
  <si>
    <t>Use from</t>
  </si>
  <si>
    <t>Defra</t>
  </si>
  <si>
    <t>Kantar liquid consumption</t>
  </si>
  <si>
    <t>Total</t>
  </si>
  <si>
    <t>Volume ('000 litres) 52 weeks</t>
  </si>
  <si>
    <t>10-Sep-17</t>
  </si>
  <si>
    <t>27-Mar-16</t>
  </si>
  <si>
    <t>11-Sep-16</t>
  </si>
  <si>
    <t>26-Mar-17</t>
  </si>
  <si>
    <t>period or 52 w/e</t>
  </si>
  <si>
    <t>Cream price</t>
  </si>
  <si>
    <t>Cream income</t>
  </si>
  <si>
    <t>ppl</t>
  </si>
  <si>
    <t>Revisions to method applied to display sheet from here onwards</t>
  </si>
  <si>
    <t>Please note that AHDB has reviewed their cream income to a liquid processor calculation and made some improvements to the methodology. In order to compare year-on-year movements under the new methodology, changes have been backdated to January 2016. This includes some minor further improvements in May 2019, again dated back to Jan 2016.  If you have any queries or want to know more, please email Dairy.MI@ahdb.org.uk.</t>
  </si>
  <si>
    <t>Disclaimer</t>
  </si>
  <si>
    <t>While the Agriculture and Horticulture Development Board seeks to ensure that the information contained within this document is accurate at the time of printing, no warranty is given in respect thereof and, to the maximum extent permitted by law the Agriculture and Horticulture development Board accepts no liability for loss, damage or injury howsoever caused (including that caused by negligence) or suffered directly or indirectly in relation to information and opinions contained in or omitted from this document.</t>
  </si>
  <si>
    <t>Contact us</t>
  </si>
  <si>
    <t>Agriculture and Horticulture Development Board 
Stoneleigh Park 
Kenilworth 
Warwickshire 
CV8 2TL</t>
  </si>
  <si>
    <t>Telephone</t>
  </si>
  <si>
    <t>024 7669 2051</t>
  </si>
  <si>
    <t>Email</t>
  </si>
  <si>
    <t xml:space="preserve">mi@ahdb.org.uk  </t>
  </si>
  <si>
    <t>Website</t>
  </si>
  <si>
    <t>ahdb.org.uk</t>
  </si>
  <si>
    <t>Wholesale bulk cream price</t>
  </si>
  <si>
    <t>Monthly change</t>
  </si>
  <si>
    <t>Wholesale cream income to a liquid processor from a litre of milk</t>
  </si>
  <si>
    <t>Source: AHDB</t>
  </si>
  <si>
    <t>%</t>
  </si>
  <si>
    <t>Cream income to a liquid processor</t>
  </si>
  <si>
    <t>Notes</t>
  </si>
  <si>
    <r>
      <rPr>
        <b/>
        <sz val="12"/>
        <color rgb="FF575756"/>
        <rFont val="Arial"/>
        <family val="2"/>
      </rPr>
      <t>Units:</t>
    </r>
    <r>
      <rPr>
        <sz val="12"/>
        <color rgb="FF575756"/>
        <rFont val="Arial"/>
        <family val="2"/>
      </rPr>
      <t xml:space="preserve"> ppl, £/tonne</t>
    </r>
  </si>
  <si>
    <t>Head office address</t>
  </si>
  <si>
    <t>mi@ahdb.org.uk</t>
  </si>
  <si>
    <t>This publication and its content is produced by the AHDB Market Intelligence team whose quality management systems are certificated to ISO 9001:2015</t>
  </si>
  <si>
    <t>©Agriculture and Horticulture Development Board 2019. All rights reserved.</t>
  </si>
  <si>
    <t>Please note that the cream income for December 2019 has been revised from the previously published estimate</t>
  </si>
  <si>
    <t>estimate put in in Dec was revised in Jan and note explaining this put in - can be removed in Feb</t>
  </si>
  <si>
    <t>*butter fat June (defra)</t>
  </si>
  <si>
    <t>*cream price July (AHDB wholesale)</t>
  </si>
  <si>
    <t>Latest UK milk prices and composition of milk - GOV.UK (www.gov.uk)</t>
  </si>
  <si>
    <t>Research and statistics - GOV.UK (www.gov.uk)</t>
  </si>
  <si>
    <t>Wholesale price</t>
  </si>
  <si>
    <t xml:space="preserve">Agriculture and Horticulture Development Board 
Middlemarch Business Park 
Siskin Parkway East 
Coventry
CV3 4PE </t>
  </si>
  <si>
    <r>
      <rPr>
        <b/>
        <sz val="12"/>
        <color rgb="FF575756"/>
        <rFont val="Arial"/>
        <family val="2"/>
      </rPr>
      <t>Source:</t>
    </r>
    <r>
      <rPr>
        <sz val="12"/>
        <color rgb="FF575756"/>
        <rFont val="Arial"/>
        <family val="2"/>
      </rPr>
      <t xml:space="preserve"> AHDB Dairy, Defra, Kantar Worldpanel (up to 2023), Nielsen (from 2024)</t>
    </r>
  </si>
  <si>
    <t>Kantar</t>
  </si>
  <si>
    <t>Neilsen</t>
  </si>
  <si>
    <t>liquid sales - total milk (total cow's milk)</t>
  </si>
  <si>
    <t>Low fat/Other</t>
  </si>
  <si>
    <t>Kantar/Nielsen (52 week)</t>
  </si>
  <si>
    <t>Percentage share of liquid sales</t>
  </si>
  <si>
    <t xml:space="preserve"> ©Agriculture and Horticulture Development Board 2026. All rights reserved.</t>
  </si>
  <si>
    <r>
      <rPr>
        <b/>
        <sz val="12"/>
        <color rgb="FF575756"/>
        <rFont val="Arial"/>
        <family val="2"/>
      </rPr>
      <t>Last Updated:</t>
    </r>
    <r>
      <rPr>
        <sz val="12"/>
        <color rgb="FF575756"/>
        <rFont val="Arial"/>
        <family val="2"/>
      </rPr>
      <t xml:space="preserve"> 25/03/2026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</si>
</sst>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4" formatCode="_-&quot;£&quot;* #,##0.00_-;\-&quot;£&quot;* #,##0.00_-;_-&quot;£&quot;* &quot;-&quot;??_-;_-@_-"/>
    <numFmt numFmtId="43" formatCode="_-* #,##0.00_-;\-* #,##0.00_-;_-* &quot;-&quot;??_-;_-@_-"/>
    <numFmt numFmtId="164" formatCode="0.0000"/>
    <numFmt numFmtId="165" formatCode="_-* #,##0\ _D_M_-;\-* #,##0\ _D_M_-;_-* &quot;-&quot;\ _D_M_-;_-@_-"/>
    <numFmt numFmtId="166" formatCode="_-* #,##0.00\ _D_M_-;\-* #,##0.00\ _D_M_-;_-* &quot;-&quot;??\ _D_M_-;_-@_-"/>
    <numFmt numFmtId="167" formatCode="_-* #,##0\ &quot;DM&quot;_-;\-* #,##0\ &quot;DM&quot;_-;_-* &quot;-&quot;\ &quot;DM&quot;_-;_-@_-"/>
    <numFmt numFmtId="168" formatCode="_-* #,##0.00\ &quot;DM&quot;_-;\-* #,##0.00\ &quot;DM&quot;_-;_-* &quot;-&quot;??\ &quot;DM&quot;_-;_-@_-"/>
    <numFmt numFmtId="169" formatCode="_-* #,##0.00000_-;\-* #,##0.00000_-;_-* &quot;-&quot;??_-;_-@_-"/>
    <numFmt numFmtId="170" formatCode="_-&quot;£&quot;* #,##0_-;\-&quot;£&quot;* #,##0_-;_-&quot;£&quot;* &quot;-&quot;??_-;_-@_-"/>
    <numFmt numFmtId="171" formatCode="#,##0.00_ ;[Red]\-#,##0.00\ "/>
    <numFmt numFmtId="172" formatCode="0.0%"/>
    <numFmt numFmtId="173" formatCode="_-* #,##0_-;\-* #,##0_-;_-* &quot;-&quot;??_-;_-@_-"/>
    <numFmt numFmtId="174" formatCode="[$-F400]h:mm:ss\ AM/PM"/>
  </numFmts>
  <fonts count="55">
    <font>
      <sz val="10"/>
      <name val="Arial"/>
    </font>
    <font>
      <sz val="11"/>
      <color theme="1"/>
      <name val="Arial"/>
      <family val="2"/>
      <scheme val="minor"/>
    </font>
    <font>
      <sz val="10"/>
      <name val="Arial"/>
      <family val="2"/>
    </font>
    <font>
      <b/>
      <sz val="10"/>
      <name val="Arial"/>
      <family val="2"/>
    </font>
    <font>
      <sz val="10"/>
      <name val="Arial"/>
      <family val="2"/>
    </font>
    <font>
      <sz val="9"/>
      <name val="Arial"/>
      <family val="2"/>
    </font>
    <font>
      <b/>
      <sz val="9"/>
      <name val="Arial"/>
      <family val="2"/>
    </font>
    <font>
      <sz val="10"/>
      <name val="GillSans"/>
      <family val="2"/>
    </font>
    <font>
      <b/>
      <sz val="14"/>
      <name val="Arial"/>
      <family val="2"/>
    </font>
    <font>
      <b/>
      <sz val="14"/>
      <name val="Arial"/>
      <family val="2"/>
    </font>
    <font>
      <sz val="10"/>
      <name val="Arial"/>
      <family val="2"/>
    </font>
    <font>
      <sz val="11"/>
      <color theme="1"/>
      <name val="Arial"/>
      <family val="2"/>
    </font>
    <font>
      <sz val="10"/>
      <color theme="1"/>
      <name val="Arial"/>
      <family val="2"/>
    </font>
    <font>
      <sz val="10"/>
      <color rgb="FF000000"/>
      <name val="MS Sans Serif"/>
      <family val="2"/>
    </font>
    <font>
      <u/>
      <sz val="10"/>
      <color rgb="FF0000FF"/>
      <name val="Arial"/>
      <family val="2"/>
    </font>
    <font>
      <sz val="10"/>
      <color rgb="FF000000"/>
      <name val="Arial"/>
      <family val="2"/>
    </font>
    <font>
      <b/>
      <sz val="14"/>
      <color rgb="FF000000"/>
      <name val="Arial"/>
      <family val="2"/>
    </font>
    <font>
      <sz val="10"/>
      <color rgb="FF000000"/>
      <name val="MS Sans Serif"/>
    </font>
    <font>
      <sz val="10"/>
      <name val="Arial"/>
      <family val="2"/>
    </font>
    <font>
      <sz val="10"/>
      <color rgb="FFFF0000"/>
      <name val="Arial"/>
      <family val="2"/>
    </font>
    <font>
      <sz val="10"/>
      <color theme="0" tint="-0.499984740745262"/>
      <name val="Arial"/>
      <family val="2"/>
    </font>
    <font>
      <u/>
      <sz val="10"/>
      <color indexed="12"/>
      <name val="Arial"/>
      <family val="2"/>
    </font>
    <font>
      <sz val="10"/>
      <color theme="0" tint="-0.249977111117893"/>
      <name val="Arial"/>
      <family val="2"/>
    </font>
    <font>
      <sz val="10"/>
      <name val="AHDB"/>
      <family val="2"/>
    </font>
    <font>
      <i/>
      <sz val="10"/>
      <name val="Arial"/>
      <family val="2"/>
    </font>
    <font>
      <sz val="10"/>
      <color theme="1"/>
      <name val="Arial"/>
      <family val="2"/>
      <scheme val="minor"/>
    </font>
    <font>
      <b/>
      <sz val="10"/>
      <color theme="0"/>
      <name val="Arial"/>
      <family val="2"/>
      <scheme val="minor"/>
    </font>
    <font>
      <sz val="10"/>
      <color rgb="FFFFCC00"/>
      <name val="Arial"/>
      <family val="2"/>
      <scheme val="minor"/>
    </font>
    <font>
      <sz val="10"/>
      <color rgb="FF95C11F"/>
      <name val="Arial"/>
      <family val="2"/>
      <scheme val="major"/>
    </font>
    <font>
      <u/>
      <sz val="10"/>
      <color theme="10"/>
      <name val="Arial"/>
      <family val="2"/>
      <scheme val="minor"/>
    </font>
    <font>
      <sz val="12"/>
      <color theme="1"/>
      <name val="Arial"/>
      <family val="2"/>
    </font>
    <font>
      <b/>
      <i/>
      <sz val="14"/>
      <color theme="1"/>
      <name val="Arial"/>
      <family val="2"/>
      <scheme val="minor"/>
    </font>
    <font>
      <b/>
      <sz val="14"/>
      <color theme="1"/>
      <name val="Arial"/>
      <family val="2"/>
      <scheme val="minor"/>
    </font>
    <font>
      <b/>
      <sz val="15"/>
      <color theme="0"/>
      <name val="Arial"/>
      <family val="2"/>
      <scheme val="minor"/>
    </font>
    <font>
      <sz val="15"/>
      <color theme="1"/>
      <name val="Arial"/>
      <family val="2"/>
    </font>
    <font>
      <sz val="15"/>
      <color theme="1"/>
      <name val="Arial"/>
      <family val="2"/>
      <scheme val="minor"/>
    </font>
    <font>
      <sz val="12"/>
      <color theme="1"/>
      <name val="Arial"/>
      <family val="2"/>
      <scheme val="minor"/>
    </font>
    <font>
      <b/>
      <sz val="12"/>
      <color theme="4"/>
      <name val="Arial (Body)_x0000_"/>
    </font>
    <font>
      <sz val="12"/>
      <color rgb="FF575756"/>
      <name val="Arial"/>
      <family val="2"/>
    </font>
    <font>
      <b/>
      <sz val="12"/>
      <color rgb="FF575756"/>
      <name val="Arial"/>
      <family val="2"/>
    </font>
    <font>
      <b/>
      <sz val="12"/>
      <color theme="0"/>
      <name val="Arial"/>
      <family val="2"/>
      <scheme val="minor"/>
    </font>
    <font>
      <sz val="12"/>
      <color rgb="FF999999"/>
      <name val="Arial"/>
      <family val="2"/>
    </font>
    <font>
      <b/>
      <sz val="16"/>
      <color theme="4"/>
      <name val="Arial (Body)_x0000_"/>
    </font>
    <font>
      <b/>
      <sz val="12"/>
      <color rgb="FF95C11F"/>
      <name val="Arial"/>
      <family val="2"/>
    </font>
    <font>
      <b/>
      <sz val="12"/>
      <color theme="1"/>
      <name val="Arial"/>
      <family val="2"/>
    </font>
    <font>
      <u/>
      <sz val="12"/>
      <color theme="10"/>
      <name val="Arial"/>
      <family val="2"/>
    </font>
    <font>
      <u/>
      <sz val="12"/>
      <color theme="4"/>
      <name val="Arial"/>
      <family val="2"/>
    </font>
    <font>
      <b/>
      <sz val="12"/>
      <color rgb="FF95C11F"/>
      <name val="Arial"/>
      <family val="2"/>
      <scheme val="major"/>
    </font>
    <font>
      <sz val="12"/>
      <name val="Arial"/>
      <family val="2"/>
    </font>
    <font>
      <b/>
      <sz val="12"/>
      <color theme="1"/>
      <name val="Arial"/>
      <family val="2"/>
      <scheme val="minor"/>
    </font>
    <font>
      <sz val="12"/>
      <color theme="10"/>
      <name val="Arial"/>
      <family val="2"/>
      <scheme val="minor"/>
    </font>
    <font>
      <u/>
      <sz val="10"/>
      <color theme="10"/>
      <name val="Arial"/>
      <family val="2"/>
    </font>
    <font>
      <u/>
      <sz val="11"/>
      <color rgb="FF0000FF"/>
      <name val="Arial"/>
      <family val="2"/>
    </font>
    <font>
      <u/>
      <sz val="10"/>
      <name val="Arial"/>
      <family val="2"/>
    </font>
    <font>
      <sz val="11"/>
      <color rgb="FF000000"/>
      <name val="Arial"/>
      <family val="2"/>
    </font>
  </fonts>
  <fills count="9">
    <fill>
      <patternFill patternType="none"/>
    </fill>
    <fill>
      <patternFill patternType="gray125"/>
    </fill>
    <fill>
      <patternFill patternType="solid">
        <fgColor indexed="35"/>
        <bgColor indexed="64"/>
      </patternFill>
    </fill>
    <fill>
      <patternFill patternType="solid">
        <fgColor indexed="9"/>
        <bgColor indexed="64"/>
      </patternFill>
    </fill>
    <fill>
      <patternFill patternType="solid">
        <fgColor theme="0"/>
        <bgColor indexed="64"/>
      </patternFill>
    </fill>
    <fill>
      <patternFill patternType="solid">
        <fgColor theme="4"/>
      </patternFill>
    </fill>
    <fill>
      <patternFill patternType="solid">
        <fgColor rgb="FF61BAE8"/>
      </patternFill>
    </fill>
    <fill>
      <patternFill patternType="solid">
        <fgColor rgb="FFDFEFFB"/>
      </patternFill>
    </fill>
    <fill>
      <patternFill patternType="solid">
        <fgColor rgb="FFBBDDF5"/>
      </patternFill>
    </fill>
  </fills>
  <borders count="21">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medium">
        <color indexed="64"/>
      </bottom>
      <diagonal/>
    </border>
    <border>
      <left style="thin">
        <color theme="0"/>
      </left>
      <right style="thin">
        <color theme="0"/>
      </right>
      <top style="thin">
        <color theme="0"/>
      </top>
      <bottom style="thin">
        <color theme="0"/>
      </bottom>
      <diagonal/>
    </border>
    <border>
      <left/>
      <right style="thin">
        <color theme="0"/>
      </right>
      <top/>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right/>
      <top style="medium">
        <color rgb="FF0090D4"/>
      </top>
      <bottom/>
      <diagonal/>
    </border>
    <border>
      <left/>
      <right/>
      <top style="medium">
        <color rgb="FF0082CA"/>
      </top>
      <bottom/>
      <diagonal/>
    </border>
    <border>
      <left/>
      <right/>
      <top/>
      <bottom style="medium">
        <color rgb="FF0082CA"/>
      </bottom>
      <diagonal/>
    </border>
    <border>
      <left/>
      <right/>
      <top style="thin">
        <color theme="4"/>
      </top>
      <bottom/>
      <diagonal/>
    </border>
    <border>
      <left/>
      <right/>
      <top/>
      <bottom style="medium">
        <color theme="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rgb="FF000000"/>
      </right>
      <top/>
      <bottom/>
      <diagonal/>
    </border>
  </borders>
  <cellStyleXfs count="62">
    <xf numFmtId="0" fontId="0" fillId="0" borderId="0"/>
    <xf numFmtId="165" fontId="2" fillId="0" borderId="0" applyFont="0" applyFill="0" applyBorder="0" applyAlignment="0" applyProtection="0"/>
    <xf numFmtId="166" fontId="2" fillId="0" borderId="0" applyFont="0" applyFill="0" applyBorder="0" applyAlignment="0" applyProtection="0"/>
    <xf numFmtId="2" fontId="2" fillId="0" borderId="0" applyFont="0" applyFill="0" applyBorder="0" applyAlignment="0" applyProtection="0"/>
    <xf numFmtId="0" fontId="4" fillId="0" borderId="0"/>
    <xf numFmtId="0" fontId="4" fillId="0" borderId="0"/>
    <xf numFmtId="0" fontId="4" fillId="0" borderId="0"/>
    <xf numFmtId="0" fontId="4" fillId="0" borderId="0"/>
    <xf numFmtId="164" fontId="7" fillId="0" borderId="0">
      <alignment horizontal="center"/>
    </xf>
    <xf numFmtId="9" fontId="2" fillId="0" borderId="0" applyFont="0" applyFill="0" applyBorder="0" applyAlignment="0" applyProtection="0"/>
    <xf numFmtId="3" fontId="5" fillId="2" borderId="1" applyNumberFormat="0" applyFont="0" applyBorder="0" applyAlignment="0" applyProtection="0">
      <alignment horizontal="right"/>
    </xf>
    <xf numFmtId="0" fontId="2" fillId="0" borderId="0"/>
    <xf numFmtId="0" fontId="4" fillId="0" borderId="0"/>
    <xf numFmtId="0" fontId="6" fillId="0" borderId="0" applyNumberFormat="0" applyFill="0" applyBorder="0" applyAlignment="0" applyProtection="0"/>
    <xf numFmtId="0" fontId="5" fillId="0" borderId="0" applyNumberFormat="0" applyFill="0" applyBorder="0" applyAlignment="0" applyProtection="0"/>
    <xf numFmtId="0" fontId="8" fillId="0" borderId="0"/>
    <xf numFmtId="0" fontId="9" fillId="0" borderId="0"/>
    <xf numFmtId="0" fontId="9" fillId="0" borderId="0"/>
    <xf numFmtId="167" fontId="2" fillId="0" borderId="0" applyFont="0" applyFill="0" applyBorder="0" applyAlignment="0" applyProtection="0"/>
    <xf numFmtId="168" fontId="2" fillId="0" borderId="0" applyFont="0" applyFill="0" applyBorder="0" applyAlignment="0" applyProtection="0"/>
    <xf numFmtId="0" fontId="2" fillId="0" borderId="0"/>
    <xf numFmtId="0" fontId="2" fillId="0" borderId="0"/>
    <xf numFmtId="0" fontId="2" fillId="0" borderId="0"/>
    <xf numFmtId="0" fontId="2" fillId="0" borderId="0"/>
    <xf numFmtId="0" fontId="1" fillId="0" borderId="0"/>
    <xf numFmtId="0" fontId="1" fillId="0" borderId="0"/>
    <xf numFmtId="9" fontId="10" fillId="0" borderId="0" applyFont="0" applyFill="0" applyBorder="0" applyAlignment="0" applyProtection="0"/>
    <xf numFmtId="0" fontId="8" fillId="0" borderId="0"/>
    <xf numFmtId="0" fontId="8" fillId="0" borderId="0"/>
    <xf numFmtId="0" fontId="13" fillId="0" borderId="0"/>
    <xf numFmtId="0" fontId="14" fillId="0" borderId="0" applyNumberFormat="0" applyFill="0" applyBorder="0" applyAlignment="0" applyProtection="0"/>
    <xf numFmtId="0" fontId="15" fillId="0" borderId="0" applyNumberFormat="0" applyBorder="0" applyProtection="0"/>
    <xf numFmtId="9" fontId="13" fillId="0" borderId="0" applyFont="0" applyFill="0" applyBorder="0" applyAlignment="0" applyProtection="0"/>
    <xf numFmtId="0" fontId="15" fillId="0" borderId="0" applyNumberFormat="0" applyBorder="0" applyProtection="0"/>
    <xf numFmtId="0" fontId="16" fillId="0" borderId="0" applyNumberFormat="0" applyBorder="0" applyProtection="0"/>
    <xf numFmtId="0" fontId="17" fillId="0" borderId="0"/>
    <xf numFmtId="9" fontId="17" fillId="0" borderId="0" applyFont="0" applyFill="0" applyBorder="0" applyAlignment="0" applyProtection="0"/>
    <xf numFmtId="43" fontId="18" fillId="0" borderId="0" applyFont="0" applyFill="0" applyBorder="0" applyAlignment="0" applyProtection="0"/>
    <xf numFmtId="44" fontId="18" fillId="0" borderId="0" applyFont="0" applyFill="0" applyBorder="0" applyAlignment="0" applyProtection="0"/>
    <xf numFmtId="0" fontId="11" fillId="0" borderId="0"/>
    <xf numFmtId="9" fontId="11" fillId="0" borderId="0" applyFont="0" applyFill="0" applyBorder="0" applyAlignment="0" applyProtection="0"/>
    <xf numFmtId="9" fontId="18" fillId="0" borderId="0" applyFont="0" applyFill="0" applyBorder="0" applyAlignment="0" applyProtection="0"/>
    <xf numFmtId="0" fontId="21" fillId="0" borderId="0" applyNumberFormat="0" applyFill="0" applyBorder="0" applyAlignment="0" applyProtection="0">
      <alignment vertical="top"/>
      <protection locked="0"/>
    </xf>
    <xf numFmtId="9" fontId="2" fillId="0" borderId="0" applyFont="0" applyFill="0" applyBorder="0" applyAlignment="0" applyProtection="0"/>
    <xf numFmtId="4" fontId="25" fillId="0" borderId="0">
      <alignment horizontal="left" vertical="top"/>
    </xf>
    <xf numFmtId="0" fontId="25" fillId="0" borderId="0" applyNumberFormat="0" applyFill="0" applyProtection="0">
      <alignment horizontal="left"/>
    </xf>
    <xf numFmtId="0" fontId="26" fillId="5" borderId="6" applyProtection="0">
      <alignment horizontal="center" vertical="center"/>
    </xf>
    <xf numFmtId="0" fontId="26" fillId="6" borderId="6" applyProtection="0">
      <alignment horizontal="center" vertical="center"/>
    </xf>
    <xf numFmtId="4" fontId="25" fillId="7" borderId="6" applyProtection="0">
      <alignment horizontal="center" vertical="center"/>
    </xf>
    <xf numFmtId="4" fontId="25" fillId="8" borderId="6" applyProtection="0">
      <alignment horizontal="center" vertical="center"/>
    </xf>
    <xf numFmtId="0" fontId="27" fillId="0" borderId="0" applyNumberFormat="0" applyBorder="0" applyProtection="0">
      <alignment vertical="center"/>
    </xf>
    <xf numFmtId="0" fontId="28" fillId="0" borderId="0" applyNumberFormat="0" applyFill="0" applyProtection="0">
      <alignment horizontal="left"/>
    </xf>
    <xf numFmtId="39" fontId="29" fillId="0" borderId="0" applyFill="0" applyBorder="0" applyAlignment="0" applyProtection="0"/>
    <xf numFmtId="4" fontId="25" fillId="0" borderId="0">
      <alignment horizontal="left" vertical="top"/>
    </xf>
    <xf numFmtId="0" fontId="15" fillId="0" borderId="0"/>
    <xf numFmtId="0" fontId="51" fillId="0" borderId="0" applyNumberFormat="0" applyFill="0" applyBorder="0" applyAlignment="0" applyProtection="0"/>
    <xf numFmtId="0" fontId="15" fillId="0" borderId="0" applyNumberFormat="0" applyBorder="0" applyProtection="0"/>
    <xf numFmtId="0" fontId="15" fillId="0" borderId="0" applyNumberFormat="0" applyBorder="0" applyProtection="0"/>
    <xf numFmtId="9" fontId="17" fillId="0" borderId="0" applyFont="0" applyFill="0" applyBorder="0" applyAlignment="0" applyProtection="0"/>
    <xf numFmtId="0" fontId="15" fillId="0" borderId="0" applyNumberFormat="0" applyBorder="0" applyProtection="0"/>
    <xf numFmtId="0" fontId="16" fillId="0" borderId="0" applyNumberFormat="0" applyBorder="0" applyProtection="0"/>
    <xf numFmtId="0" fontId="52" fillId="0" borderId="0"/>
  </cellStyleXfs>
  <cellXfs count="159">
    <xf numFmtId="0" fontId="0" fillId="0" borderId="0" xfId="0"/>
    <xf numFmtId="2" fontId="0" fillId="0" borderId="0" xfId="0" applyNumberFormat="1"/>
    <xf numFmtId="0" fontId="2" fillId="0" borderId="0" xfId="0" applyFont="1"/>
    <xf numFmtId="43" fontId="0" fillId="0" borderId="0" xfId="37" applyFont="1"/>
    <xf numFmtId="169" fontId="0" fillId="0" borderId="0" xfId="37" applyNumberFormat="1" applyFont="1"/>
    <xf numFmtId="0" fontId="19" fillId="0" borderId="0" xfId="0" applyFont="1"/>
    <xf numFmtId="43" fontId="12" fillId="0" borderId="0" xfId="37" applyFont="1"/>
    <xf numFmtId="17" fontId="12" fillId="0" borderId="0" xfId="0" applyNumberFormat="1" applyFont="1"/>
    <xf numFmtId="170" fontId="0" fillId="0" borderId="0" xfId="38" applyNumberFormat="1" applyFont="1" applyFill="1" applyBorder="1" applyAlignment="1">
      <alignment horizontal="right"/>
    </xf>
    <xf numFmtId="171" fontId="2" fillId="0" borderId="0" xfId="37" applyNumberFormat="1" applyFont="1" applyFill="1" applyBorder="1" applyAlignment="1">
      <alignment horizontal="right" vertical="top" wrapText="1"/>
    </xf>
    <xf numFmtId="170" fontId="0" fillId="0" borderId="0" xfId="38" applyNumberFormat="1" applyFont="1" applyFill="1"/>
    <xf numFmtId="171" fontId="0" fillId="0" borderId="0" xfId="37" applyNumberFormat="1" applyFont="1" applyFill="1"/>
    <xf numFmtId="0" fontId="3" fillId="0" borderId="0" xfId="0" applyFont="1" applyAlignment="1">
      <alignment horizontal="center" vertical="center" wrapText="1"/>
    </xf>
    <xf numFmtId="43" fontId="3" fillId="0" borderId="0" xfId="37" applyFont="1" applyAlignment="1">
      <alignment horizontal="center" vertical="center" wrapText="1"/>
    </xf>
    <xf numFmtId="43" fontId="6" fillId="0" borderId="0" xfId="37" applyFont="1" applyFill="1" applyBorder="1" applyAlignment="1">
      <alignment horizontal="center" vertical="center" wrapText="1"/>
    </xf>
    <xf numFmtId="43" fontId="3" fillId="0" borderId="0" xfId="37" applyFont="1" applyFill="1" applyAlignment="1">
      <alignment horizontal="center" vertical="center" wrapText="1"/>
    </xf>
    <xf numFmtId="0" fontId="0" fillId="0" borderId="5" xfId="0" applyBorder="1"/>
    <xf numFmtId="9" fontId="0" fillId="0" borderId="0" xfId="9" applyFont="1" applyBorder="1"/>
    <xf numFmtId="172" fontId="0" fillId="0" borderId="0" xfId="9" applyNumberFormat="1" applyFont="1" applyBorder="1"/>
    <xf numFmtId="0" fontId="3" fillId="0" borderId="0" xfId="0" applyFont="1"/>
    <xf numFmtId="0" fontId="0" fillId="0" borderId="0" xfId="0" applyAlignment="1">
      <alignment horizontal="center"/>
    </xf>
    <xf numFmtId="0" fontId="3" fillId="0" borderId="0" xfId="0" applyFont="1" applyAlignment="1">
      <alignment horizontal="right"/>
    </xf>
    <xf numFmtId="0" fontId="3" fillId="0" borderId="0" xfId="0" applyFont="1" applyAlignment="1">
      <alignment horizontal="center" vertical="center"/>
    </xf>
    <xf numFmtId="0" fontId="20" fillId="0" borderId="0" xfId="0" applyFont="1" applyAlignment="1">
      <alignment horizontal="right"/>
    </xf>
    <xf numFmtId="14" fontId="0" fillId="0" borderId="0" xfId="0" applyNumberFormat="1" applyAlignment="1">
      <alignment horizontal="center"/>
    </xf>
    <xf numFmtId="0" fontId="20" fillId="0" borderId="0" xfId="0" applyFont="1"/>
    <xf numFmtId="173" fontId="0" fillId="0" borderId="0" xfId="37" applyNumberFormat="1" applyFont="1" applyBorder="1"/>
    <xf numFmtId="0" fontId="22" fillId="0" borderId="0" xfId="0" applyFont="1" applyAlignment="1">
      <alignment horizontal="center"/>
    </xf>
    <xf numFmtId="14" fontId="22" fillId="0" borderId="0" xfId="0" applyNumberFormat="1" applyFont="1" applyAlignment="1">
      <alignment horizontal="center"/>
    </xf>
    <xf numFmtId="2" fontId="22" fillId="0" borderId="0" xfId="0" applyNumberFormat="1" applyFont="1"/>
    <xf numFmtId="0" fontId="22" fillId="0" borderId="0" xfId="0" applyFont="1"/>
    <xf numFmtId="172" fontId="22" fillId="0" borderId="0" xfId="9" applyNumberFormat="1" applyFont="1" applyBorder="1"/>
    <xf numFmtId="9" fontId="22" fillId="0" borderId="0" xfId="9" applyFont="1" applyBorder="1"/>
    <xf numFmtId="17" fontId="20" fillId="0" borderId="0" xfId="0" applyNumberFormat="1" applyFont="1"/>
    <xf numFmtId="170" fontId="20" fillId="0" borderId="0" xfId="38" applyNumberFormat="1" applyFont="1" applyFill="1" applyBorder="1" applyAlignment="1">
      <alignment horizontal="right"/>
    </xf>
    <xf numFmtId="171" fontId="20" fillId="0" borderId="0" xfId="37" applyNumberFormat="1" applyFont="1" applyFill="1" applyBorder="1" applyAlignment="1">
      <alignment horizontal="right" vertical="top" wrapText="1"/>
    </xf>
    <xf numFmtId="43" fontId="20" fillId="0" borderId="0" xfId="37" applyFont="1"/>
    <xf numFmtId="169" fontId="20" fillId="0" borderId="0" xfId="37" applyNumberFormat="1" applyFont="1"/>
    <xf numFmtId="17" fontId="20" fillId="0" borderId="5" xfId="0" applyNumberFormat="1" applyFont="1" applyBorder="1"/>
    <xf numFmtId="170" fontId="20" fillId="0" borderId="5" xfId="38" applyNumberFormat="1" applyFont="1" applyFill="1" applyBorder="1" applyAlignment="1">
      <alignment horizontal="right"/>
    </xf>
    <xf numFmtId="171" fontId="20" fillId="0" borderId="5" xfId="37" applyNumberFormat="1" applyFont="1" applyFill="1" applyBorder="1" applyAlignment="1">
      <alignment horizontal="right" vertical="top" wrapText="1"/>
    </xf>
    <xf numFmtId="0" fontId="20" fillId="0" borderId="5" xfId="0" applyFont="1" applyBorder="1"/>
    <xf numFmtId="43" fontId="20" fillId="0" borderId="5" xfId="37" applyFont="1" applyBorder="1"/>
    <xf numFmtId="169" fontId="20" fillId="0" borderId="5" xfId="37" applyNumberFormat="1" applyFont="1" applyBorder="1"/>
    <xf numFmtId="0" fontId="23" fillId="3" borderId="0" xfId="0" applyFont="1" applyFill="1"/>
    <xf numFmtId="173" fontId="0" fillId="0" borderId="0" xfId="37" applyNumberFormat="1" applyFont="1" applyFill="1" applyBorder="1"/>
    <xf numFmtId="2" fontId="2" fillId="0" borderId="0" xfId="0" applyNumberFormat="1" applyFont="1"/>
    <xf numFmtId="2" fontId="0" fillId="0" borderId="5" xfId="0" applyNumberFormat="1" applyBorder="1"/>
    <xf numFmtId="10" fontId="0" fillId="0" borderId="0" xfId="9" applyNumberFormat="1" applyFont="1"/>
    <xf numFmtId="10" fontId="0" fillId="0" borderId="0" xfId="0" applyNumberFormat="1"/>
    <xf numFmtId="10" fontId="0" fillId="0" borderId="5" xfId="9" applyNumberFormat="1" applyFont="1" applyBorder="1"/>
    <xf numFmtId="0" fontId="24" fillId="0" borderId="0" xfId="0" applyFont="1"/>
    <xf numFmtId="0" fontId="12" fillId="4" borderId="0" xfId="0" applyFont="1" applyFill="1" applyAlignment="1">
      <alignment horizontal="left" vertical="top"/>
    </xf>
    <xf numFmtId="0" fontId="12" fillId="4" borderId="0" xfId="0" applyFont="1" applyFill="1"/>
    <xf numFmtId="0" fontId="30" fillId="4" borderId="0" xfId="0" applyFont="1" applyFill="1"/>
    <xf numFmtId="0" fontId="32" fillId="4" borderId="0" xfId="0" applyFont="1" applyFill="1" applyAlignment="1">
      <alignment horizontal="left" vertical="top"/>
    </xf>
    <xf numFmtId="0" fontId="30" fillId="4" borderId="0" xfId="0" applyFont="1" applyFill="1" applyAlignment="1">
      <alignment horizontal="left" vertical="top"/>
    </xf>
    <xf numFmtId="0" fontId="30" fillId="4" borderId="0" xfId="0" applyFont="1" applyFill="1" applyAlignment="1">
      <alignment vertical="center"/>
    </xf>
    <xf numFmtId="17" fontId="33" fillId="5" borderId="6" xfId="46" applyNumberFormat="1" applyFont="1" applyAlignment="1">
      <alignment horizontal="center" vertical="center" wrapText="1"/>
    </xf>
    <xf numFmtId="17" fontId="33" fillId="5" borderId="8" xfId="46" applyNumberFormat="1" applyFont="1" applyBorder="1" applyAlignment="1">
      <alignment horizontal="center" vertical="center" wrapText="1"/>
    </xf>
    <xf numFmtId="17" fontId="33" fillId="6" borderId="6" xfId="47" applyNumberFormat="1" applyFont="1">
      <alignment horizontal="center" vertical="center"/>
    </xf>
    <xf numFmtId="17" fontId="33" fillId="6" borderId="8" xfId="47" applyNumberFormat="1" applyFont="1" applyBorder="1">
      <alignment horizontal="center" vertical="center"/>
    </xf>
    <xf numFmtId="17" fontId="34" fillId="7" borderId="8" xfId="48" applyNumberFormat="1" applyFont="1" applyBorder="1" applyAlignment="1">
      <alignment horizontal="left" vertical="center"/>
    </xf>
    <xf numFmtId="17" fontId="34" fillId="8" borderId="8" xfId="49" applyNumberFormat="1" applyFont="1" applyBorder="1" applyAlignment="1">
      <alignment horizontal="left" vertical="center"/>
    </xf>
    <xf numFmtId="174" fontId="36" fillId="4" borderId="0" xfId="44" applyNumberFormat="1" applyFont="1" applyFill="1" applyAlignment="1"/>
    <xf numFmtId="4" fontId="37" fillId="4" borderId="0" xfId="44" applyFont="1" applyFill="1" applyAlignment="1"/>
    <xf numFmtId="4" fontId="37" fillId="4" borderId="0" xfId="44" applyFont="1" applyFill="1" applyAlignment="1">
      <alignment horizontal="left"/>
    </xf>
    <xf numFmtId="4" fontId="38" fillId="4" borderId="0" xfId="44" applyFont="1" applyFill="1" applyAlignment="1">
      <alignment horizontal="left" vertical="center"/>
    </xf>
    <xf numFmtId="4" fontId="38" fillId="4" borderId="0" xfId="44" applyFont="1" applyFill="1" applyAlignment="1">
      <alignment vertical="center"/>
    </xf>
    <xf numFmtId="4" fontId="36" fillId="4" borderId="0" xfId="44" applyFont="1" applyFill="1">
      <alignment horizontal="left" vertical="top"/>
    </xf>
    <xf numFmtId="14" fontId="36" fillId="4" borderId="0" xfId="45" applyNumberFormat="1" applyFont="1" applyFill="1">
      <alignment horizontal="left"/>
    </xf>
    <xf numFmtId="4" fontId="36" fillId="4" borderId="0" xfId="44" applyFont="1" applyFill="1" applyAlignment="1">
      <alignment vertical="top" wrapText="1"/>
    </xf>
    <xf numFmtId="0" fontId="40" fillId="5" borderId="7" xfId="46" applyFont="1" applyBorder="1">
      <alignment horizontal="center" vertical="center"/>
    </xf>
    <xf numFmtId="0" fontId="40" fillId="5" borderId="8" xfId="46" applyFont="1" applyBorder="1" applyAlignment="1">
      <alignment horizontal="center" vertical="center" wrapText="1"/>
    </xf>
    <xf numFmtId="0" fontId="40" fillId="6" borderId="6" xfId="47" applyFont="1">
      <alignment horizontal="center" vertical="center"/>
    </xf>
    <xf numFmtId="4" fontId="36" fillId="4" borderId="0" xfId="44" applyFont="1" applyFill="1" applyAlignment="1">
      <alignment horizontal="center" vertical="center"/>
    </xf>
    <xf numFmtId="17" fontId="41" fillId="4" borderId="0" xfId="44" applyNumberFormat="1" applyFont="1" applyFill="1" applyAlignment="1">
      <alignment vertical="center"/>
    </xf>
    <xf numFmtId="4" fontId="42" fillId="4" borderId="0" xfId="44" applyFont="1" applyFill="1" applyAlignment="1">
      <alignment horizontal="left"/>
    </xf>
    <xf numFmtId="17" fontId="36" fillId="8" borderId="9" xfId="49" applyNumberFormat="1" applyFont="1" applyBorder="1" applyAlignment="1">
      <alignment horizontal="left" vertical="center"/>
    </xf>
    <xf numFmtId="17" fontId="36" fillId="7" borderId="9" xfId="48" applyNumberFormat="1" applyFont="1" applyBorder="1" applyAlignment="1">
      <alignment horizontal="left" vertical="center"/>
    </xf>
    <xf numFmtId="3" fontId="36" fillId="8" borderId="6" xfId="49" applyNumberFormat="1" applyFont="1" applyAlignment="1">
      <alignment horizontal="right" vertical="center"/>
    </xf>
    <xf numFmtId="4" fontId="36" fillId="8" borderId="6" xfId="49" applyFont="1" applyAlignment="1">
      <alignment horizontal="right" vertical="center"/>
    </xf>
    <xf numFmtId="3" fontId="36" fillId="7" borderId="6" xfId="48" applyNumberFormat="1" applyFont="1" applyAlignment="1">
      <alignment horizontal="right" vertical="center"/>
    </xf>
    <xf numFmtId="4" fontId="36" fillId="7" borderId="6" xfId="48" applyFont="1" applyAlignment="1">
      <alignment horizontal="right" vertical="center"/>
    </xf>
    <xf numFmtId="4" fontId="30" fillId="4" borderId="0" xfId="53" applyFont="1" applyFill="1">
      <alignment horizontal="left" vertical="top"/>
    </xf>
    <xf numFmtId="0" fontId="43" fillId="4" borderId="13" xfId="54" applyFont="1" applyFill="1" applyBorder="1" applyAlignment="1">
      <alignment vertical="center"/>
    </xf>
    <xf numFmtId="4" fontId="30" fillId="4" borderId="0" xfId="53" applyFont="1" applyFill="1" applyAlignment="1">
      <alignment horizontal="left"/>
    </xf>
    <xf numFmtId="0" fontId="43" fillId="4" borderId="0" xfId="54" applyFont="1" applyFill="1" applyAlignment="1">
      <alignment vertical="center"/>
    </xf>
    <xf numFmtId="4" fontId="30" fillId="4" borderId="0" xfId="53" applyFont="1" applyFill="1" applyAlignment="1">
      <alignment vertical="top" wrapText="1"/>
    </xf>
    <xf numFmtId="4" fontId="44" fillId="4" borderId="0" xfId="53" applyFont="1" applyFill="1" applyAlignment="1">
      <alignment vertical="top"/>
    </xf>
    <xf numFmtId="4" fontId="44" fillId="4" borderId="0" xfId="53" applyFont="1" applyFill="1">
      <alignment horizontal="left" vertical="top"/>
    </xf>
    <xf numFmtId="39" fontId="45" fillId="4" borderId="0" xfId="52" applyFont="1" applyFill="1" applyAlignment="1">
      <alignment horizontal="left" vertical="top"/>
    </xf>
    <xf numFmtId="0" fontId="39" fillId="4" borderId="14" xfId="54" applyFont="1" applyFill="1" applyBorder="1" applyAlignment="1" applyProtection="1">
      <alignment vertical="center"/>
      <protection locked="0"/>
    </xf>
    <xf numFmtId="0" fontId="46" fillId="4" borderId="14" xfId="54" applyFont="1" applyFill="1" applyBorder="1" applyAlignment="1" applyProtection="1">
      <alignment vertical="center"/>
      <protection locked="0"/>
    </xf>
    <xf numFmtId="4" fontId="30" fillId="4" borderId="15" xfId="53" applyFont="1" applyFill="1" applyBorder="1">
      <alignment horizontal="left" vertical="top"/>
    </xf>
    <xf numFmtId="4" fontId="36" fillId="0" borderId="0" xfId="53" applyFont="1">
      <alignment horizontal="left" vertical="top"/>
    </xf>
    <xf numFmtId="0" fontId="47" fillId="0" borderId="0" xfId="51" applyFont="1">
      <alignment horizontal="left"/>
    </xf>
    <xf numFmtId="4" fontId="48" fillId="0" borderId="0" xfId="53" applyFont="1">
      <alignment horizontal="left" vertical="top"/>
    </xf>
    <xf numFmtId="0" fontId="39" fillId="0" borderId="0" xfId="51" applyFont="1">
      <alignment horizontal="left"/>
    </xf>
    <xf numFmtId="4" fontId="38" fillId="0" borderId="0" xfId="53" applyFont="1" applyAlignment="1">
      <alignment horizontal="left" vertical="top" wrapText="1"/>
    </xf>
    <xf numFmtId="4" fontId="36" fillId="0" borderId="0" xfId="53" applyFont="1" applyAlignment="1">
      <alignment vertical="top" wrapText="1"/>
    </xf>
    <xf numFmtId="4" fontId="49" fillId="0" borderId="0" xfId="53" applyFont="1" applyAlignment="1">
      <alignment vertical="top"/>
    </xf>
    <xf numFmtId="4" fontId="49" fillId="0" borderId="0" xfId="53" applyFont="1">
      <alignment horizontal="left" vertical="top"/>
    </xf>
    <xf numFmtId="39" fontId="50" fillId="0" borderId="0" xfId="52" applyFont="1" applyAlignment="1">
      <alignment horizontal="left" vertical="top"/>
    </xf>
    <xf numFmtId="4" fontId="49" fillId="0" borderId="16" xfId="53" applyFont="1" applyBorder="1">
      <alignment horizontal="left" vertical="top"/>
    </xf>
    <xf numFmtId="4" fontId="41" fillId="0" borderId="0" xfId="53" applyFont="1" applyAlignment="1">
      <alignment vertical="center"/>
    </xf>
    <xf numFmtId="3" fontId="35" fillId="7" borderId="6" xfId="48" applyNumberFormat="1" applyFont="1" applyAlignment="1">
      <alignment horizontal="right" vertical="center"/>
    </xf>
    <xf numFmtId="4" fontId="35" fillId="7" borderId="8" xfId="48" applyFont="1" applyBorder="1" applyAlignment="1">
      <alignment horizontal="right" vertical="center"/>
    </xf>
    <xf numFmtId="3" fontId="35" fillId="7" borderId="8" xfId="48" applyNumberFormat="1" applyFont="1" applyBorder="1" applyAlignment="1">
      <alignment horizontal="right" vertical="center"/>
    </xf>
    <xf numFmtId="3" fontId="35" fillId="8" borderId="6" xfId="49" applyNumberFormat="1" applyFont="1" applyAlignment="1">
      <alignment horizontal="right" vertical="center"/>
    </xf>
    <xf numFmtId="4" fontId="35" fillId="8" borderId="8" xfId="49" applyFont="1" applyBorder="1" applyAlignment="1">
      <alignment horizontal="right" vertical="center"/>
    </xf>
    <xf numFmtId="9" fontId="35" fillId="8" borderId="8" xfId="9" applyFont="1" applyFill="1" applyBorder="1" applyAlignment="1">
      <alignment horizontal="right" vertical="center"/>
    </xf>
    <xf numFmtId="9" fontId="35" fillId="7" borderId="8" xfId="9" applyFont="1" applyFill="1" applyBorder="1" applyAlignment="1">
      <alignment horizontal="right" vertical="center"/>
    </xf>
    <xf numFmtId="4" fontId="30" fillId="4" borderId="0" xfId="53" applyFont="1" applyFill="1" applyAlignment="1">
      <alignment horizontal="left" wrapText="1"/>
    </xf>
    <xf numFmtId="170" fontId="3" fillId="0" borderId="3" xfId="38" applyNumberFormat="1" applyFont="1" applyFill="1" applyBorder="1" applyAlignment="1">
      <alignment horizontal="center" vertical="center" wrapText="1"/>
    </xf>
    <xf numFmtId="170" fontId="3" fillId="0" borderId="0" xfId="38" applyNumberFormat="1" applyFont="1" applyFill="1" applyBorder="1" applyAlignment="1">
      <alignment horizontal="center" vertical="center" wrapText="1"/>
    </xf>
    <xf numFmtId="0" fontId="51" fillId="0" borderId="0" xfId="55"/>
    <xf numFmtId="4" fontId="36" fillId="4" borderId="0" xfId="44" applyFont="1" applyFill="1" applyAlignment="1">
      <alignment horizontal="right" vertical="center"/>
    </xf>
    <xf numFmtId="0" fontId="30" fillId="4" borderId="0" xfId="0" applyFont="1" applyFill="1" applyAlignment="1">
      <alignment horizontal="right" vertical="top"/>
    </xf>
    <xf numFmtId="173" fontId="2" fillId="0" borderId="0" xfId="37" applyNumberFormat="1" applyFont="1" applyFill="1" applyBorder="1"/>
    <xf numFmtId="15" fontId="0" fillId="0" borderId="0" xfId="0" applyNumberFormat="1" applyAlignment="1">
      <alignment horizontal="center" vertical="center"/>
    </xf>
    <xf numFmtId="0" fontId="0" fillId="0" borderId="0" xfId="0" applyAlignment="1">
      <alignment horizontal="center" vertical="center"/>
    </xf>
    <xf numFmtId="15" fontId="0" fillId="0" borderId="5" xfId="0" applyNumberFormat="1" applyBorder="1" applyAlignment="1">
      <alignment horizontal="center" vertical="center"/>
    </xf>
    <xf numFmtId="14" fontId="0" fillId="0" borderId="5" xfId="0" applyNumberFormat="1" applyBorder="1" applyAlignment="1">
      <alignment horizontal="center"/>
    </xf>
    <xf numFmtId="172" fontId="0" fillId="0" borderId="5" xfId="9" applyNumberFormat="1" applyFont="1" applyBorder="1"/>
    <xf numFmtId="9" fontId="0" fillId="0" borderId="5" xfId="9" applyFont="1" applyBorder="1"/>
    <xf numFmtId="173" fontId="0" fillId="0" borderId="5" xfId="37" applyNumberFormat="1" applyFont="1" applyFill="1" applyBorder="1"/>
    <xf numFmtId="4" fontId="36" fillId="4" borderId="0" xfId="44" applyFont="1" applyFill="1" applyAlignment="1">
      <alignment horizontal="right"/>
    </xf>
    <xf numFmtId="2" fontId="54" fillId="0" borderId="0" xfId="59" applyNumberFormat="1" applyFont="1" applyBorder="1" applyAlignment="1">
      <alignment horizontal="right" wrapText="1"/>
    </xf>
    <xf numFmtId="0" fontId="51" fillId="0" borderId="0" xfId="55" applyFill="1"/>
    <xf numFmtId="0" fontId="53" fillId="0" borderId="0" xfId="55" applyFont="1" applyFill="1"/>
    <xf numFmtId="43" fontId="0" fillId="0" borderId="0" xfId="37" applyFont="1" applyBorder="1"/>
    <xf numFmtId="43" fontId="0" fillId="0" borderId="0" xfId="37" applyFont="1" applyFill="1" applyBorder="1"/>
    <xf numFmtId="169" fontId="0" fillId="0" borderId="0" xfId="37" applyNumberFormat="1" applyFont="1" applyFill="1"/>
    <xf numFmtId="2" fontId="54" fillId="0" borderId="20" xfId="59" applyNumberFormat="1" applyFont="1" applyBorder="1" applyAlignment="1">
      <alignment horizontal="right" wrapText="1"/>
    </xf>
    <xf numFmtId="43" fontId="12" fillId="0" borderId="0" xfId="37" applyFont="1" applyBorder="1"/>
    <xf numFmtId="0" fontId="31" fillId="5" borderId="10" xfId="46" applyFont="1" applyBorder="1" applyAlignment="1">
      <alignment horizontal="left" vertical="center"/>
    </xf>
    <xf numFmtId="0" fontId="31" fillId="5" borderId="11" xfId="46" applyFont="1" applyBorder="1" applyAlignment="1">
      <alignment horizontal="left" vertical="center"/>
    </xf>
    <xf numFmtId="0" fontId="3" fillId="0" borderId="2" xfId="0" applyFont="1" applyBorder="1" applyAlignment="1">
      <alignment horizontal="center" vertical="center" wrapText="1"/>
    </xf>
    <xf numFmtId="0" fontId="3" fillId="0" borderId="4" xfId="0" applyFont="1" applyBorder="1" applyAlignment="1">
      <alignment horizontal="center" vertical="center" wrapText="1"/>
    </xf>
    <xf numFmtId="171" fontId="3" fillId="0" borderId="3" xfId="37" applyNumberFormat="1" applyFont="1" applyFill="1" applyBorder="1" applyAlignment="1">
      <alignment horizontal="center" vertical="center" wrapText="1"/>
    </xf>
    <xf numFmtId="171" fontId="3" fillId="0" borderId="0" xfId="37" applyNumberFormat="1" applyFont="1" applyFill="1" applyBorder="1" applyAlignment="1">
      <alignment horizontal="center" vertical="center" wrapText="1"/>
    </xf>
    <xf numFmtId="43" fontId="6" fillId="0" borderId="0" xfId="37" applyFont="1" applyFill="1" applyBorder="1" applyAlignment="1">
      <alignment horizontal="center" vertical="center" wrapText="1"/>
    </xf>
    <xf numFmtId="0" fontId="2" fillId="0" borderId="17" xfId="0" applyFont="1"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39" fontId="45" fillId="4" borderId="0" xfId="52" applyFont="1" applyFill="1" applyAlignment="1">
      <alignment horizontal="left" vertical="top"/>
    </xf>
    <xf numFmtId="4" fontId="30" fillId="4" borderId="0" xfId="53" applyFont="1" applyFill="1" applyAlignment="1">
      <alignment horizontal="left" wrapText="1"/>
    </xf>
    <xf numFmtId="4" fontId="30" fillId="4" borderId="0" xfId="53" applyFont="1" applyFill="1" applyAlignment="1">
      <alignment horizontal="left" vertical="top" wrapText="1"/>
    </xf>
    <xf numFmtId="0" fontId="38" fillId="4" borderId="0" xfId="54" applyFont="1" applyFill="1" applyAlignment="1">
      <alignment horizontal="left" vertical="center" wrapText="1"/>
    </xf>
    <xf numFmtId="4" fontId="44" fillId="4" borderId="0" xfId="53" applyFont="1" applyFill="1" applyAlignment="1">
      <alignment horizontal="left" vertical="top" wrapText="1"/>
    </xf>
    <xf numFmtId="4" fontId="44" fillId="4" borderId="0" xfId="53" applyFont="1" applyFill="1">
      <alignment horizontal="left" vertical="top"/>
    </xf>
    <xf numFmtId="39" fontId="50" fillId="0" borderId="16" xfId="52" applyFont="1" applyBorder="1" applyAlignment="1">
      <alignment horizontal="left" vertical="top"/>
    </xf>
    <xf numFmtId="0" fontId="47" fillId="0" borderId="12" xfId="51" applyFont="1" applyBorder="1">
      <alignment horizontal="left"/>
    </xf>
    <xf numFmtId="4" fontId="38" fillId="0" borderId="0" xfId="53" applyFont="1" applyAlignment="1">
      <alignment horizontal="left" vertical="top" wrapText="1"/>
    </xf>
    <xf numFmtId="4" fontId="49" fillId="0" borderId="0" xfId="53" applyFont="1" applyAlignment="1">
      <alignment horizontal="left" vertical="top" wrapText="1"/>
    </xf>
    <xf numFmtId="4" fontId="36" fillId="0" borderId="0" xfId="53" applyFont="1" applyAlignment="1">
      <alignment horizontal="left" vertical="top" wrapText="1"/>
    </xf>
    <xf numFmtId="4" fontId="49" fillId="0" borderId="0" xfId="53" applyFont="1">
      <alignment horizontal="left" vertical="top"/>
    </xf>
    <xf numFmtId="39" fontId="50" fillId="0" borderId="0" xfId="52" applyFont="1" applyAlignment="1">
      <alignment horizontal="left" vertical="top"/>
    </xf>
  </cellXfs>
  <cellStyles count="62">
    <cellStyle name="20% - Accent1 2" xfId="48" xr:uid="{00000000-0005-0000-0000-000000000000}"/>
    <cellStyle name="40% - Accent1 2" xfId="49" xr:uid="{00000000-0005-0000-0000-000001000000}"/>
    <cellStyle name="60% - Accent1 2" xfId="47" xr:uid="{00000000-0005-0000-0000-000002000000}"/>
    <cellStyle name="Accent1 2" xfId="46" xr:uid="{00000000-0005-0000-0000-000003000000}"/>
    <cellStyle name="Comma" xfId="37" builtinId="3"/>
    <cellStyle name="Currency" xfId="38" builtinId="4"/>
    <cellStyle name="Dezimal [0]_CAP07_99" xfId="1" xr:uid="{00000000-0005-0000-0000-000006000000}"/>
    <cellStyle name="Dezimal_CAP07_99" xfId="2" xr:uid="{00000000-0005-0000-0000-000007000000}"/>
    <cellStyle name="Fixed" xfId="3" xr:uid="{00000000-0005-0000-0000-000008000000}"/>
    <cellStyle name="Heading 2 2" xfId="51" xr:uid="{00000000-0005-0000-0000-000009000000}"/>
    <cellStyle name="Heading 3 2" xfId="45" xr:uid="{00000000-0005-0000-0000-00000A000000}"/>
    <cellStyle name="Hyperlink" xfId="55" builtinId="8"/>
    <cellStyle name="Hyperlink 2" xfId="30" xr:uid="{00000000-0005-0000-0000-00000B000000}"/>
    <cellStyle name="Hyperlink 3" xfId="42" xr:uid="{00000000-0005-0000-0000-00000C000000}"/>
    <cellStyle name="Hyperlink 4" xfId="52" xr:uid="{00000000-0005-0000-0000-00000D000000}"/>
    <cellStyle name="Hyperlink 5" xfId="61" xr:uid="{201B1BE9-25CC-473B-8976-814C7D6E869D}"/>
    <cellStyle name="Neutral 2" xfId="50" xr:uid="{00000000-0005-0000-0000-00000E000000}"/>
    <cellStyle name="Normal" xfId="0" builtinId="0"/>
    <cellStyle name="Normal 10" xfId="44" xr:uid="{00000000-0005-0000-0000-000010000000}"/>
    <cellStyle name="Normal 2" xfId="31" xr:uid="{00000000-0005-0000-0000-000011000000}"/>
    <cellStyle name="Normal 2 2" xfId="4" xr:uid="{00000000-0005-0000-0000-000012000000}"/>
    <cellStyle name="Normal 2 2 2" xfId="20" xr:uid="{00000000-0005-0000-0000-000013000000}"/>
    <cellStyle name="Normal 2 2 3" xfId="56" xr:uid="{673B1751-9F79-44A4-81B7-B5B0093CCAE6}"/>
    <cellStyle name="Normal 3" xfId="5" xr:uid="{00000000-0005-0000-0000-000014000000}"/>
    <cellStyle name="Normal 3 2" xfId="21" xr:uid="{00000000-0005-0000-0000-000015000000}"/>
    <cellStyle name="Normal 3 3" xfId="53" xr:uid="{00000000-0005-0000-0000-000016000000}"/>
    <cellStyle name="Normal 3 4" xfId="57" xr:uid="{B61CCF61-5AF5-41A5-9A3B-5CE3F338028E}"/>
    <cellStyle name="Normal 4" xfId="6" xr:uid="{00000000-0005-0000-0000-000017000000}"/>
    <cellStyle name="Normal 4 2" xfId="22" xr:uid="{00000000-0005-0000-0000-000018000000}"/>
    <cellStyle name="Normal 4 3" xfId="54" xr:uid="{00000000-0005-0000-0000-000019000000}"/>
    <cellStyle name="Normal 5" xfId="7" xr:uid="{00000000-0005-0000-0000-00001A000000}"/>
    <cellStyle name="Normal 5 2" xfId="23" xr:uid="{00000000-0005-0000-0000-00001B000000}"/>
    <cellStyle name="Normal 6" xfId="29" xr:uid="{00000000-0005-0000-0000-00001C000000}"/>
    <cellStyle name="Normal 6 2" xfId="39" xr:uid="{00000000-0005-0000-0000-00001D000000}"/>
    <cellStyle name="Normal 7" xfId="35" xr:uid="{00000000-0005-0000-0000-00001E000000}"/>
    <cellStyle name="Normal 8" xfId="24" xr:uid="{00000000-0005-0000-0000-00001F000000}"/>
    <cellStyle name="Normal 9" xfId="25" xr:uid="{00000000-0005-0000-0000-000020000000}"/>
    <cellStyle name="Num 4" xfId="8" xr:uid="{00000000-0005-0000-0000-000021000000}"/>
    <cellStyle name="Percent" xfId="9" builtinId="5"/>
    <cellStyle name="Percent 2" xfId="26" xr:uid="{00000000-0005-0000-0000-000023000000}"/>
    <cellStyle name="Percent 2 2" xfId="43" xr:uid="{00000000-0005-0000-0000-000024000000}"/>
    <cellStyle name="Percent 2 3" xfId="58" xr:uid="{5570D963-6744-43DF-B433-37C57CBB6588}"/>
    <cellStyle name="Percent 3" xfId="32" xr:uid="{00000000-0005-0000-0000-000025000000}"/>
    <cellStyle name="Percent 4" xfId="36" xr:uid="{00000000-0005-0000-0000-000026000000}"/>
    <cellStyle name="Percent 4 2" xfId="40" xr:uid="{00000000-0005-0000-0000-000027000000}"/>
    <cellStyle name="Percent 5" xfId="41" xr:uid="{00000000-0005-0000-0000-000028000000}"/>
    <cellStyle name="Rechnung" xfId="10" xr:uid="{00000000-0005-0000-0000-000029000000}"/>
    <cellStyle name="Refdb standard" xfId="11" xr:uid="{00000000-0005-0000-0000-00002A000000}"/>
    <cellStyle name="Refdb standard 2" xfId="12" xr:uid="{00000000-0005-0000-0000-00002B000000}"/>
    <cellStyle name="Refdb standard 2 2" xfId="59" xr:uid="{66E31E51-4724-425A-9313-0923842B1DC5}"/>
    <cellStyle name="Refdb standard 3" xfId="33" xr:uid="{00000000-0005-0000-0000-00002C000000}"/>
    <cellStyle name="Standard fett" xfId="13" xr:uid="{00000000-0005-0000-0000-00002D000000}"/>
    <cellStyle name="Standard_CAP07_99" xfId="14" xr:uid="{00000000-0005-0000-0000-00002E000000}"/>
    <cellStyle name="Title" xfId="15" builtinId="15" customBuiltin="1"/>
    <cellStyle name="Title 2" xfId="16" xr:uid="{00000000-0005-0000-0000-000030000000}"/>
    <cellStyle name="Title 2 2" xfId="27" xr:uid="{00000000-0005-0000-0000-000031000000}"/>
    <cellStyle name="Title 2 3" xfId="60" xr:uid="{B2E78794-6978-437F-95AF-A59302128E9F}"/>
    <cellStyle name="Title 3" xfId="17" xr:uid="{00000000-0005-0000-0000-000032000000}"/>
    <cellStyle name="Title 3 2" xfId="28" xr:uid="{00000000-0005-0000-0000-000033000000}"/>
    <cellStyle name="Title 4" xfId="34" xr:uid="{00000000-0005-0000-0000-000034000000}"/>
    <cellStyle name="Währung [0]_CAP07_99" xfId="18" xr:uid="{00000000-0005-0000-0000-000035000000}"/>
    <cellStyle name="Währung_CAP07_99" xfId="19" xr:uid="{00000000-0005-0000-0000-000036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1" i="0" u="none" strike="noStrike" kern="1200" spc="0" baseline="0">
                <a:solidFill>
                  <a:schemeClr val="bg1"/>
                </a:solidFill>
                <a:latin typeface="+mn-lt"/>
                <a:ea typeface="+mn-ea"/>
                <a:cs typeface="+mn-cs"/>
              </a:defRPr>
            </a:pPr>
            <a:r>
              <a:rPr lang="en-US" b="1">
                <a:solidFill>
                  <a:schemeClr val="bg1"/>
                </a:solidFill>
              </a:rPr>
              <a:t>Cream income to a liquid processor</a:t>
            </a:r>
          </a:p>
        </c:rich>
      </c:tx>
      <c:overlay val="0"/>
      <c:spPr>
        <a:noFill/>
        <a:ln>
          <a:noFill/>
        </a:ln>
        <a:effectLst/>
      </c:spPr>
      <c:txPr>
        <a:bodyPr rot="0" spcFirstLastPara="1" vertOverflow="ellipsis" vert="horz" wrap="square" anchor="ctr" anchorCtr="1"/>
        <a:lstStyle/>
        <a:p>
          <a:pPr>
            <a:defRPr sz="1440" b="1" i="0" u="none" strike="noStrike" kern="1200" spc="0" baseline="0">
              <a:solidFill>
                <a:schemeClr val="bg1"/>
              </a:solidFill>
              <a:latin typeface="+mn-lt"/>
              <a:ea typeface="+mn-ea"/>
              <a:cs typeface="+mn-cs"/>
            </a:defRPr>
          </a:pPr>
          <a:endParaRPr lang="en-US"/>
        </a:p>
      </c:txPr>
    </c:title>
    <c:autoTitleDeleted val="0"/>
    <c:plotArea>
      <c:layout>
        <c:manualLayout>
          <c:layoutTarget val="inner"/>
          <c:xMode val="edge"/>
          <c:yMode val="edge"/>
          <c:x val="8.6012191358024695E-2"/>
          <c:y val="0.11690370370370369"/>
          <c:w val="0.8843581790123457"/>
          <c:h val="0.68868587962962968"/>
        </c:manualLayout>
      </c:layout>
      <c:lineChart>
        <c:grouping val="standard"/>
        <c:varyColors val="0"/>
        <c:ser>
          <c:idx val="0"/>
          <c:order val="0"/>
          <c:tx>
            <c:strRef>
              <c:f>'Cream income'!$D$7</c:f>
              <c:strCache>
                <c:ptCount val="1"/>
                <c:pt idx="0">
                  <c:v>Cream income</c:v>
                </c:pt>
              </c:strCache>
            </c:strRef>
          </c:tx>
          <c:spPr>
            <a:ln w="28575" cap="rnd">
              <a:solidFill>
                <a:schemeClr val="accent1"/>
              </a:solidFill>
              <a:round/>
            </a:ln>
            <a:effectLst/>
          </c:spPr>
          <c:marker>
            <c:symbol val="none"/>
          </c:marker>
          <c:cat>
            <c:numRef>
              <c:f>'Cream income'!$B$9:$B$310</c:f>
              <c:numCache>
                <c:formatCode>mmm\-yy</c:formatCode>
                <c:ptCount val="302"/>
                <c:pt idx="0">
                  <c:v>37895</c:v>
                </c:pt>
                <c:pt idx="1">
                  <c:v>37926</c:v>
                </c:pt>
                <c:pt idx="2">
                  <c:v>37956</c:v>
                </c:pt>
                <c:pt idx="3">
                  <c:v>37987</c:v>
                </c:pt>
                <c:pt idx="4">
                  <c:v>38018</c:v>
                </c:pt>
                <c:pt idx="5">
                  <c:v>38047</c:v>
                </c:pt>
                <c:pt idx="6">
                  <c:v>38078</c:v>
                </c:pt>
                <c:pt idx="7">
                  <c:v>38108</c:v>
                </c:pt>
                <c:pt idx="8">
                  <c:v>38139</c:v>
                </c:pt>
                <c:pt idx="9">
                  <c:v>38169</c:v>
                </c:pt>
                <c:pt idx="10">
                  <c:v>38200</c:v>
                </c:pt>
                <c:pt idx="11">
                  <c:v>38231</c:v>
                </c:pt>
                <c:pt idx="12">
                  <c:v>38261</c:v>
                </c:pt>
                <c:pt idx="13">
                  <c:v>38292</c:v>
                </c:pt>
                <c:pt idx="14">
                  <c:v>38322</c:v>
                </c:pt>
                <c:pt idx="15">
                  <c:v>38353</c:v>
                </c:pt>
                <c:pt idx="16">
                  <c:v>38384</c:v>
                </c:pt>
                <c:pt idx="17">
                  <c:v>38412</c:v>
                </c:pt>
                <c:pt idx="18">
                  <c:v>38443</c:v>
                </c:pt>
                <c:pt idx="19">
                  <c:v>38473</c:v>
                </c:pt>
                <c:pt idx="20">
                  <c:v>38504</c:v>
                </c:pt>
                <c:pt idx="21">
                  <c:v>38534</c:v>
                </c:pt>
                <c:pt idx="22">
                  <c:v>38565</c:v>
                </c:pt>
                <c:pt idx="23">
                  <c:v>38596</c:v>
                </c:pt>
                <c:pt idx="24">
                  <c:v>38626</c:v>
                </c:pt>
                <c:pt idx="25">
                  <c:v>38657</c:v>
                </c:pt>
                <c:pt idx="26">
                  <c:v>38687</c:v>
                </c:pt>
                <c:pt idx="27">
                  <c:v>38718</c:v>
                </c:pt>
                <c:pt idx="28">
                  <c:v>38749</c:v>
                </c:pt>
                <c:pt idx="29">
                  <c:v>38777</c:v>
                </c:pt>
                <c:pt idx="30">
                  <c:v>38808</c:v>
                </c:pt>
                <c:pt idx="31">
                  <c:v>38838</c:v>
                </c:pt>
                <c:pt idx="32">
                  <c:v>38869</c:v>
                </c:pt>
                <c:pt idx="33">
                  <c:v>38899</c:v>
                </c:pt>
                <c:pt idx="34">
                  <c:v>38930</c:v>
                </c:pt>
                <c:pt idx="35">
                  <c:v>38961</c:v>
                </c:pt>
                <c:pt idx="36">
                  <c:v>38991</c:v>
                </c:pt>
                <c:pt idx="37">
                  <c:v>39022</c:v>
                </c:pt>
                <c:pt idx="38">
                  <c:v>39052</c:v>
                </c:pt>
                <c:pt idx="39">
                  <c:v>39083</c:v>
                </c:pt>
                <c:pt idx="40">
                  <c:v>39114</c:v>
                </c:pt>
                <c:pt idx="41">
                  <c:v>39142</c:v>
                </c:pt>
                <c:pt idx="42">
                  <c:v>39173</c:v>
                </c:pt>
                <c:pt idx="43">
                  <c:v>39203</c:v>
                </c:pt>
                <c:pt idx="44">
                  <c:v>39234</c:v>
                </c:pt>
                <c:pt idx="45">
                  <c:v>39264</c:v>
                </c:pt>
                <c:pt idx="46">
                  <c:v>39295</c:v>
                </c:pt>
                <c:pt idx="47">
                  <c:v>39326</c:v>
                </c:pt>
                <c:pt idx="48">
                  <c:v>39356</c:v>
                </c:pt>
                <c:pt idx="49">
                  <c:v>39387</c:v>
                </c:pt>
                <c:pt idx="50">
                  <c:v>39417</c:v>
                </c:pt>
                <c:pt idx="51">
                  <c:v>39448</c:v>
                </c:pt>
                <c:pt idx="52">
                  <c:v>39479</c:v>
                </c:pt>
                <c:pt idx="53">
                  <c:v>39508</c:v>
                </c:pt>
                <c:pt idx="54">
                  <c:v>39539</c:v>
                </c:pt>
                <c:pt idx="55">
                  <c:v>39569</c:v>
                </c:pt>
                <c:pt idx="56">
                  <c:v>39600</c:v>
                </c:pt>
                <c:pt idx="57">
                  <c:v>39630</c:v>
                </c:pt>
                <c:pt idx="58">
                  <c:v>39661</c:v>
                </c:pt>
                <c:pt idx="59">
                  <c:v>39692</c:v>
                </c:pt>
                <c:pt idx="60">
                  <c:v>39722</c:v>
                </c:pt>
                <c:pt idx="61">
                  <c:v>39753</c:v>
                </c:pt>
                <c:pt idx="62">
                  <c:v>39783</c:v>
                </c:pt>
                <c:pt idx="63">
                  <c:v>39814</c:v>
                </c:pt>
                <c:pt idx="64">
                  <c:v>39845</c:v>
                </c:pt>
                <c:pt idx="65">
                  <c:v>39873</c:v>
                </c:pt>
                <c:pt idx="66">
                  <c:v>39904</c:v>
                </c:pt>
                <c:pt idx="67">
                  <c:v>39934</c:v>
                </c:pt>
                <c:pt idx="68">
                  <c:v>39965</c:v>
                </c:pt>
                <c:pt idx="69">
                  <c:v>39995</c:v>
                </c:pt>
                <c:pt idx="70">
                  <c:v>40026</c:v>
                </c:pt>
                <c:pt idx="71">
                  <c:v>40057</c:v>
                </c:pt>
                <c:pt idx="72">
                  <c:v>40087</c:v>
                </c:pt>
                <c:pt idx="73">
                  <c:v>40118</c:v>
                </c:pt>
                <c:pt idx="74">
                  <c:v>40148</c:v>
                </c:pt>
                <c:pt idx="75">
                  <c:v>40179</c:v>
                </c:pt>
                <c:pt idx="76">
                  <c:v>40210</c:v>
                </c:pt>
                <c:pt idx="77">
                  <c:v>40238</c:v>
                </c:pt>
                <c:pt idx="78">
                  <c:v>40269</c:v>
                </c:pt>
                <c:pt idx="79">
                  <c:v>40299</c:v>
                </c:pt>
                <c:pt idx="80">
                  <c:v>40330</c:v>
                </c:pt>
                <c:pt idx="81">
                  <c:v>40360</c:v>
                </c:pt>
                <c:pt idx="82">
                  <c:v>40391</c:v>
                </c:pt>
                <c:pt idx="83">
                  <c:v>40422</c:v>
                </c:pt>
                <c:pt idx="84">
                  <c:v>40452</c:v>
                </c:pt>
                <c:pt idx="85">
                  <c:v>40483</c:v>
                </c:pt>
                <c:pt idx="86">
                  <c:v>40513</c:v>
                </c:pt>
                <c:pt idx="87">
                  <c:v>40544</c:v>
                </c:pt>
                <c:pt idx="88">
                  <c:v>40575</c:v>
                </c:pt>
                <c:pt idx="89">
                  <c:v>40603</c:v>
                </c:pt>
                <c:pt idx="90">
                  <c:v>40634</c:v>
                </c:pt>
                <c:pt idx="91">
                  <c:v>40664</c:v>
                </c:pt>
                <c:pt idx="92">
                  <c:v>40695</c:v>
                </c:pt>
                <c:pt idx="93">
                  <c:v>40725</c:v>
                </c:pt>
                <c:pt idx="94">
                  <c:v>40756</c:v>
                </c:pt>
                <c:pt idx="95">
                  <c:v>40787</c:v>
                </c:pt>
                <c:pt idx="96">
                  <c:v>40817</c:v>
                </c:pt>
                <c:pt idx="97">
                  <c:v>40848</c:v>
                </c:pt>
                <c:pt idx="98">
                  <c:v>40878</c:v>
                </c:pt>
                <c:pt idx="99">
                  <c:v>40909</c:v>
                </c:pt>
                <c:pt idx="100">
                  <c:v>40940</c:v>
                </c:pt>
                <c:pt idx="101">
                  <c:v>40969</c:v>
                </c:pt>
                <c:pt idx="102">
                  <c:v>41000</c:v>
                </c:pt>
                <c:pt idx="103">
                  <c:v>41030</c:v>
                </c:pt>
                <c:pt idx="104">
                  <c:v>41061</c:v>
                </c:pt>
                <c:pt idx="105">
                  <c:v>41091</c:v>
                </c:pt>
                <c:pt idx="106">
                  <c:v>41122</c:v>
                </c:pt>
                <c:pt idx="107">
                  <c:v>41153</c:v>
                </c:pt>
                <c:pt idx="108">
                  <c:v>41183</c:v>
                </c:pt>
                <c:pt idx="109">
                  <c:v>41214</c:v>
                </c:pt>
                <c:pt idx="110">
                  <c:v>41244</c:v>
                </c:pt>
                <c:pt idx="111">
                  <c:v>41275</c:v>
                </c:pt>
                <c:pt idx="112">
                  <c:v>41306</c:v>
                </c:pt>
                <c:pt idx="113">
                  <c:v>41334</c:v>
                </c:pt>
                <c:pt idx="114">
                  <c:v>41365</c:v>
                </c:pt>
                <c:pt idx="115">
                  <c:v>41395</c:v>
                </c:pt>
                <c:pt idx="116">
                  <c:v>41426</c:v>
                </c:pt>
                <c:pt idx="117">
                  <c:v>41456</c:v>
                </c:pt>
                <c:pt idx="118">
                  <c:v>41487</c:v>
                </c:pt>
                <c:pt idx="119">
                  <c:v>41518</c:v>
                </c:pt>
                <c:pt idx="120">
                  <c:v>41548</c:v>
                </c:pt>
                <c:pt idx="121">
                  <c:v>41579</c:v>
                </c:pt>
                <c:pt idx="122">
                  <c:v>41609</c:v>
                </c:pt>
                <c:pt idx="123">
                  <c:v>41640</c:v>
                </c:pt>
                <c:pt idx="124">
                  <c:v>41671</c:v>
                </c:pt>
                <c:pt idx="125">
                  <c:v>41699</c:v>
                </c:pt>
                <c:pt idx="126">
                  <c:v>41730</c:v>
                </c:pt>
                <c:pt idx="127">
                  <c:v>41760</c:v>
                </c:pt>
                <c:pt idx="128">
                  <c:v>41791</c:v>
                </c:pt>
                <c:pt idx="129">
                  <c:v>41821</c:v>
                </c:pt>
                <c:pt idx="130">
                  <c:v>41852</c:v>
                </c:pt>
                <c:pt idx="131">
                  <c:v>41883</c:v>
                </c:pt>
                <c:pt idx="132">
                  <c:v>41913</c:v>
                </c:pt>
                <c:pt idx="133">
                  <c:v>41944</c:v>
                </c:pt>
                <c:pt idx="134">
                  <c:v>41974</c:v>
                </c:pt>
                <c:pt idx="135">
                  <c:v>42005</c:v>
                </c:pt>
                <c:pt idx="136">
                  <c:v>42036</c:v>
                </c:pt>
                <c:pt idx="137">
                  <c:v>42064</c:v>
                </c:pt>
                <c:pt idx="138">
                  <c:v>42095</c:v>
                </c:pt>
                <c:pt idx="139">
                  <c:v>42125</c:v>
                </c:pt>
                <c:pt idx="140">
                  <c:v>42156</c:v>
                </c:pt>
                <c:pt idx="141">
                  <c:v>42186</c:v>
                </c:pt>
                <c:pt idx="142">
                  <c:v>42217</c:v>
                </c:pt>
                <c:pt idx="143">
                  <c:v>42248</c:v>
                </c:pt>
                <c:pt idx="144">
                  <c:v>42278</c:v>
                </c:pt>
                <c:pt idx="145">
                  <c:v>42309</c:v>
                </c:pt>
                <c:pt idx="146">
                  <c:v>42339</c:v>
                </c:pt>
                <c:pt idx="147">
                  <c:v>42370</c:v>
                </c:pt>
                <c:pt idx="148">
                  <c:v>42401</c:v>
                </c:pt>
                <c:pt idx="149">
                  <c:v>42430</c:v>
                </c:pt>
                <c:pt idx="150">
                  <c:v>42461</c:v>
                </c:pt>
                <c:pt idx="151">
                  <c:v>42491</c:v>
                </c:pt>
                <c:pt idx="152">
                  <c:v>42522</c:v>
                </c:pt>
                <c:pt idx="153">
                  <c:v>42552</c:v>
                </c:pt>
                <c:pt idx="154">
                  <c:v>42583</c:v>
                </c:pt>
                <c:pt idx="155">
                  <c:v>42614</c:v>
                </c:pt>
                <c:pt idx="156">
                  <c:v>42644</c:v>
                </c:pt>
                <c:pt idx="157">
                  <c:v>42675</c:v>
                </c:pt>
                <c:pt idx="158">
                  <c:v>42705</c:v>
                </c:pt>
                <c:pt idx="159">
                  <c:v>42736</c:v>
                </c:pt>
                <c:pt idx="160">
                  <c:v>42767</c:v>
                </c:pt>
                <c:pt idx="161">
                  <c:v>42795</c:v>
                </c:pt>
                <c:pt idx="162">
                  <c:v>42826</c:v>
                </c:pt>
                <c:pt idx="163">
                  <c:v>42856</c:v>
                </c:pt>
                <c:pt idx="164">
                  <c:v>42887</c:v>
                </c:pt>
                <c:pt idx="165">
                  <c:v>42917</c:v>
                </c:pt>
                <c:pt idx="166">
                  <c:v>42948</c:v>
                </c:pt>
                <c:pt idx="167">
                  <c:v>42979</c:v>
                </c:pt>
                <c:pt idx="168">
                  <c:v>43009</c:v>
                </c:pt>
                <c:pt idx="169">
                  <c:v>43040</c:v>
                </c:pt>
                <c:pt idx="170">
                  <c:v>43070</c:v>
                </c:pt>
                <c:pt idx="171">
                  <c:v>43101</c:v>
                </c:pt>
                <c:pt idx="172">
                  <c:v>43132</c:v>
                </c:pt>
                <c:pt idx="173">
                  <c:v>43160</c:v>
                </c:pt>
                <c:pt idx="174">
                  <c:v>43191</c:v>
                </c:pt>
                <c:pt idx="175">
                  <c:v>43221</c:v>
                </c:pt>
                <c:pt idx="176">
                  <c:v>43252</c:v>
                </c:pt>
                <c:pt idx="177">
                  <c:v>43282</c:v>
                </c:pt>
                <c:pt idx="178">
                  <c:v>43313</c:v>
                </c:pt>
                <c:pt idx="179">
                  <c:v>43344</c:v>
                </c:pt>
                <c:pt idx="180">
                  <c:v>43374</c:v>
                </c:pt>
                <c:pt idx="181">
                  <c:v>43405</c:v>
                </c:pt>
                <c:pt idx="182">
                  <c:v>43435</c:v>
                </c:pt>
                <c:pt idx="183">
                  <c:v>43466</c:v>
                </c:pt>
                <c:pt idx="184">
                  <c:v>43497</c:v>
                </c:pt>
                <c:pt idx="185">
                  <c:v>43525</c:v>
                </c:pt>
                <c:pt idx="186">
                  <c:v>43556</c:v>
                </c:pt>
                <c:pt idx="187">
                  <c:v>43586</c:v>
                </c:pt>
                <c:pt idx="188">
                  <c:v>43617</c:v>
                </c:pt>
                <c:pt idx="189">
                  <c:v>43647</c:v>
                </c:pt>
                <c:pt idx="190">
                  <c:v>43678</c:v>
                </c:pt>
                <c:pt idx="191">
                  <c:v>43709</c:v>
                </c:pt>
                <c:pt idx="192">
                  <c:v>43739</c:v>
                </c:pt>
                <c:pt idx="193">
                  <c:v>43770</c:v>
                </c:pt>
                <c:pt idx="194">
                  <c:v>43800</c:v>
                </c:pt>
                <c:pt idx="195">
                  <c:v>43831</c:v>
                </c:pt>
                <c:pt idx="196">
                  <c:v>43862</c:v>
                </c:pt>
                <c:pt idx="197">
                  <c:v>43891</c:v>
                </c:pt>
                <c:pt idx="198">
                  <c:v>43922</c:v>
                </c:pt>
                <c:pt idx="199">
                  <c:v>43952</c:v>
                </c:pt>
                <c:pt idx="200">
                  <c:v>43983</c:v>
                </c:pt>
                <c:pt idx="201">
                  <c:v>44013</c:v>
                </c:pt>
                <c:pt idx="202">
                  <c:v>44044</c:v>
                </c:pt>
                <c:pt idx="203">
                  <c:v>44075</c:v>
                </c:pt>
                <c:pt idx="204">
                  <c:v>44105</c:v>
                </c:pt>
                <c:pt idx="205">
                  <c:v>44136</c:v>
                </c:pt>
                <c:pt idx="206">
                  <c:v>44166</c:v>
                </c:pt>
                <c:pt idx="207">
                  <c:v>44197</c:v>
                </c:pt>
                <c:pt idx="208">
                  <c:v>44228</c:v>
                </c:pt>
                <c:pt idx="209">
                  <c:v>44256</c:v>
                </c:pt>
                <c:pt idx="210">
                  <c:v>44287</c:v>
                </c:pt>
                <c:pt idx="211">
                  <c:v>44317</c:v>
                </c:pt>
                <c:pt idx="212">
                  <c:v>44348</c:v>
                </c:pt>
                <c:pt idx="213">
                  <c:v>44378</c:v>
                </c:pt>
                <c:pt idx="214">
                  <c:v>44409</c:v>
                </c:pt>
                <c:pt idx="215">
                  <c:v>44440</c:v>
                </c:pt>
                <c:pt idx="216">
                  <c:v>44470</c:v>
                </c:pt>
                <c:pt idx="217">
                  <c:v>44501</c:v>
                </c:pt>
                <c:pt idx="218">
                  <c:v>44531</c:v>
                </c:pt>
                <c:pt idx="219">
                  <c:v>44562</c:v>
                </c:pt>
                <c:pt idx="220">
                  <c:v>44593</c:v>
                </c:pt>
                <c:pt idx="221">
                  <c:v>44621</c:v>
                </c:pt>
                <c:pt idx="222">
                  <c:v>44652</c:v>
                </c:pt>
                <c:pt idx="223">
                  <c:v>44682</c:v>
                </c:pt>
                <c:pt idx="224">
                  <c:v>44713</c:v>
                </c:pt>
                <c:pt idx="225">
                  <c:v>44743</c:v>
                </c:pt>
                <c:pt idx="226">
                  <c:v>44774</c:v>
                </c:pt>
                <c:pt idx="227">
                  <c:v>44805</c:v>
                </c:pt>
                <c:pt idx="228">
                  <c:v>44835</c:v>
                </c:pt>
                <c:pt idx="229">
                  <c:v>44866</c:v>
                </c:pt>
                <c:pt idx="230">
                  <c:v>44896</c:v>
                </c:pt>
                <c:pt idx="231">
                  <c:v>44927</c:v>
                </c:pt>
                <c:pt idx="232">
                  <c:v>44958</c:v>
                </c:pt>
                <c:pt idx="233">
                  <c:v>44986</c:v>
                </c:pt>
                <c:pt idx="234">
                  <c:v>45017</c:v>
                </c:pt>
                <c:pt idx="235">
                  <c:v>45047</c:v>
                </c:pt>
                <c:pt idx="236">
                  <c:v>45078</c:v>
                </c:pt>
                <c:pt idx="237">
                  <c:v>45108</c:v>
                </c:pt>
                <c:pt idx="238">
                  <c:v>45139</c:v>
                </c:pt>
                <c:pt idx="239">
                  <c:v>45170</c:v>
                </c:pt>
                <c:pt idx="240">
                  <c:v>45200</c:v>
                </c:pt>
                <c:pt idx="241">
                  <c:v>45231</c:v>
                </c:pt>
                <c:pt idx="242">
                  <c:v>45261</c:v>
                </c:pt>
                <c:pt idx="243">
                  <c:v>45292</c:v>
                </c:pt>
                <c:pt idx="244">
                  <c:v>45323</c:v>
                </c:pt>
                <c:pt idx="245">
                  <c:v>45352</c:v>
                </c:pt>
                <c:pt idx="246">
                  <c:v>45383</c:v>
                </c:pt>
                <c:pt idx="247">
                  <c:v>45413</c:v>
                </c:pt>
                <c:pt idx="248">
                  <c:v>45444</c:v>
                </c:pt>
                <c:pt idx="249">
                  <c:v>45474</c:v>
                </c:pt>
                <c:pt idx="250">
                  <c:v>45505</c:v>
                </c:pt>
                <c:pt idx="251">
                  <c:v>45536</c:v>
                </c:pt>
                <c:pt idx="252">
                  <c:v>45566</c:v>
                </c:pt>
                <c:pt idx="253">
                  <c:v>45597</c:v>
                </c:pt>
                <c:pt idx="254">
                  <c:v>45627</c:v>
                </c:pt>
                <c:pt idx="255">
                  <c:v>45658</c:v>
                </c:pt>
                <c:pt idx="256">
                  <c:v>45689</c:v>
                </c:pt>
                <c:pt idx="257">
                  <c:v>45717</c:v>
                </c:pt>
                <c:pt idx="258">
                  <c:v>45748</c:v>
                </c:pt>
                <c:pt idx="259">
                  <c:v>45778</c:v>
                </c:pt>
                <c:pt idx="260">
                  <c:v>45809</c:v>
                </c:pt>
                <c:pt idx="261">
                  <c:v>45839</c:v>
                </c:pt>
                <c:pt idx="262">
                  <c:v>45870</c:v>
                </c:pt>
                <c:pt idx="263">
                  <c:v>45901</c:v>
                </c:pt>
                <c:pt idx="264">
                  <c:v>45931</c:v>
                </c:pt>
                <c:pt idx="265">
                  <c:v>45962</c:v>
                </c:pt>
                <c:pt idx="266">
                  <c:v>45992</c:v>
                </c:pt>
                <c:pt idx="267">
                  <c:v>46023</c:v>
                </c:pt>
                <c:pt idx="268">
                  <c:v>46054</c:v>
                </c:pt>
                <c:pt idx="269">
                  <c:v>46082</c:v>
                </c:pt>
                <c:pt idx="270">
                  <c:v>46113</c:v>
                </c:pt>
              </c:numCache>
            </c:numRef>
          </c:cat>
          <c:val>
            <c:numRef>
              <c:f>'Cream income'!$D$9:$D$309</c:f>
              <c:numCache>
                <c:formatCode>#,##0.00</c:formatCode>
                <c:ptCount val="301"/>
                <c:pt idx="0">
                  <c:v>5.3304255691650022</c:v>
                </c:pt>
                <c:pt idx="1">
                  <c:v>5.0716670463900018</c:v>
                </c:pt>
                <c:pt idx="2">
                  <c:v>5.0716670463900018</c:v>
                </c:pt>
                <c:pt idx="3">
                  <c:v>4.9959155847375012</c:v>
                </c:pt>
                <c:pt idx="4">
                  <c:v>4.7855612443275017</c:v>
                </c:pt>
                <c:pt idx="5">
                  <c:v>4.732972659225001</c:v>
                </c:pt>
                <c:pt idx="6">
                  <c:v>4.7855612443275017</c:v>
                </c:pt>
                <c:pt idx="7">
                  <c:v>4.8907384145325015</c:v>
                </c:pt>
                <c:pt idx="8">
                  <c:v>5.0485041698400011</c:v>
                </c:pt>
                <c:pt idx="9">
                  <c:v>5.0485041698400011</c:v>
                </c:pt>
                <c:pt idx="10">
                  <c:v>4.8907384145325015</c:v>
                </c:pt>
                <c:pt idx="11">
                  <c:v>4.8381498294300016</c:v>
                </c:pt>
                <c:pt idx="12">
                  <c:v>4.8381498294300016</c:v>
                </c:pt>
                <c:pt idx="13">
                  <c:v>4.8907384145325015</c:v>
                </c:pt>
                <c:pt idx="14">
                  <c:v>4.8381498294300016</c:v>
                </c:pt>
                <c:pt idx="15">
                  <c:v>4.9003153038000002</c:v>
                </c:pt>
                <c:pt idx="16">
                  <c:v>4.8458673559800003</c:v>
                </c:pt>
                <c:pt idx="17">
                  <c:v>4.7914194081600003</c:v>
                </c:pt>
                <c:pt idx="18">
                  <c:v>4.7914194081600003</c:v>
                </c:pt>
                <c:pt idx="19">
                  <c:v>4.7369714603400004</c:v>
                </c:pt>
                <c:pt idx="20">
                  <c:v>4.9003153038000002</c:v>
                </c:pt>
                <c:pt idx="21">
                  <c:v>4.7914194081600003</c:v>
                </c:pt>
                <c:pt idx="22">
                  <c:v>4.6825235125200004</c:v>
                </c:pt>
                <c:pt idx="23">
                  <c:v>4.6280755647000005</c:v>
                </c:pt>
                <c:pt idx="24">
                  <c:v>4.5736276168800005</c:v>
                </c:pt>
                <c:pt idx="25">
                  <c:v>4.5736276168800005</c:v>
                </c:pt>
                <c:pt idx="26">
                  <c:v>4.5191796690600006</c:v>
                </c:pt>
                <c:pt idx="27">
                  <c:v>4.3013878777799999</c:v>
                </c:pt>
                <c:pt idx="28">
                  <c:v>4.13804403432</c:v>
                </c:pt>
                <c:pt idx="29">
                  <c:v>4.19249198214</c:v>
                </c:pt>
                <c:pt idx="30">
                  <c:v>4.19249198214</c:v>
                </c:pt>
                <c:pt idx="31">
                  <c:v>4.13804403432</c:v>
                </c:pt>
                <c:pt idx="32">
                  <c:v>4.13804403432</c:v>
                </c:pt>
                <c:pt idx="33">
                  <c:v>4.3558358255999998</c:v>
                </c:pt>
                <c:pt idx="34">
                  <c:v>4.4102837734199998</c:v>
                </c:pt>
                <c:pt idx="35">
                  <c:v>4.57</c:v>
                </c:pt>
                <c:pt idx="36">
                  <c:v>4.5194999999999999</c:v>
                </c:pt>
                <c:pt idx="37">
                  <c:v>4.5191999999999997</c:v>
                </c:pt>
                <c:pt idx="38">
                  <c:v>4.5191999999999997</c:v>
                </c:pt>
                <c:pt idx="39">
                  <c:v>4.1029</c:v>
                </c:pt>
                <c:pt idx="40">
                  <c:v>4.0999999999999996</c:v>
                </c:pt>
                <c:pt idx="41">
                  <c:v>4.16</c:v>
                </c:pt>
                <c:pt idx="42">
                  <c:v>4.6695061715400001</c:v>
                </c:pt>
                <c:pt idx="43">
                  <c:v>5.2253997633899996</c:v>
                </c:pt>
                <c:pt idx="44">
                  <c:v>6.39</c:v>
                </c:pt>
                <c:pt idx="45">
                  <c:v>7.2266166940499996</c:v>
                </c:pt>
                <c:pt idx="46">
                  <c:v>7.8185000000000002</c:v>
                </c:pt>
                <c:pt idx="47">
                  <c:v>8.2614999999999998</c:v>
                </c:pt>
                <c:pt idx="48">
                  <c:v>8.2588469392800032</c:v>
                </c:pt>
                <c:pt idx="49">
                  <c:v>5.227691338485001</c:v>
                </c:pt>
                <c:pt idx="50">
                  <c:v>4.628596845262499</c:v>
                </c:pt>
                <c:pt idx="51">
                  <c:v>5.0493783766499991</c:v>
                </c:pt>
                <c:pt idx="52">
                  <c:v>5.1033742905600015</c:v>
                </c:pt>
                <c:pt idx="53">
                  <c:v>5.20898542829591</c:v>
                </c:pt>
                <c:pt idx="54">
                  <c:v>5.3136999999999999</c:v>
                </c:pt>
                <c:pt idx="55">
                  <c:v>5.5566554983800023</c:v>
                </c:pt>
                <c:pt idx="56">
                  <c:v>5.7054266197920018</c:v>
                </c:pt>
                <c:pt idx="57">
                  <c:v>5.7267571973100022</c:v>
                </c:pt>
                <c:pt idx="58">
                  <c:v>5.6571855060000082</c:v>
                </c:pt>
                <c:pt idx="59">
                  <c:v>5.325820280640003</c:v>
                </c:pt>
                <c:pt idx="60">
                  <c:v>4.6582416991337849</c:v>
                </c:pt>
                <c:pt idx="61">
                  <c:v>4.4247035521799987</c:v>
                </c:pt>
                <c:pt idx="62">
                  <c:v>4.5343291548</c:v>
                </c:pt>
                <c:pt idx="63">
                  <c:v>4.5343291548</c:v>
                </c:pt>
                <c:pt idx="64">
                  <c:v>4.2509335826249997</c:v>
                </c:pt>
                <c:pt idx="65">
                  <c:v>4.4243174184300003</c:v>
                </c:pt>
                <c:pt idx="66">
                  <c:v>4.7071222917749997</c:v>
                </c:pt>
                <c:pt idx="67">
                  <c:v>4.986676691212498</c:v>
                </c:pt>
                <c:pt idx="68">
                  <c:v>5.3365705016624991</c:v>
                </c:pt>
                <c:pt idx="69">
                  <c:v>5.4370699618125009</c:v>
                </c:pt>
                <c:pt idx="70">
                  <c:v>5.4146527524374992</c:v>
                </c:pt>
                <c:pt idx="71">
                  <c:v>7.6474464921562495</c:v>
                </c:pt>
                <c:pt idx="72">
                  <c:v>9.6</c:v>
                </c:pt>
                <c:pt idx="73">
                  <c:v>8.4277552274999987</c:v>
                </c:pt>
                <c:pt idx="74">
                  <c:v>6.4292084546249972</c:v>
                </c:pt>
                <c:pt idx="75">
                  <c:v>6.2980036386749987</c:v>
                </c:pt>
                <c:pt idx="76">
                  <c:v>6.0193309112999982</c:v>
                </c:pt>
                <c:pt idx="77">
                  <c:v>6.82</c:v>
                </c:pt>
                <c:pt idx="78">
                  <c:v>7.2546379912499992</c:v>
                </c:pt>
                <c:pt idx="79">
                  <c:v>8.0917116056249991</c:v>
                </c:pt>
                <c:pt idx="80">
                  <c:v>8.6165102756249983</c:v>
                </c:pt>
                <c:pt idx="81">
                  <c:v>7.9494256091249982</c:v>
                </c:pt>
                <c:pt idx="82">
                  <c:v>7.8390042277499994</c:v>
                </c:pt>
                <c:pt idx="83">
                  <c:v>8.1150255033749996</c:v>
                </c:pt>
                <c:pt idx="84">
                  <c:v>8.2806382687499998</c:v>
                </c:pt>
                <c:pt idx="85">
                  <c:v>8.17</c:v>
                </c:pt>
                <c:pt idx="86">
                  <c:v>7.97</c:v>
                </c:pt>
                <c:pt idx="87">
                  <c:v>8.1150000000000002</c:v>
                </c:pt>
                <c:pt idx="88">
                  <c:v>9.1087000000000007</c:v>
                </c:pt>
                <c:pt idx="89">
                  <c:v>8.5167590568749993</c:v>
                </c:pt>
                <c:pt idx="90">
                  <c:v>8.3198308443750015</c:v>
                </c:pt>
                <c:pt idx="91">
                  <c:v>9.43</c:v>
                </c:pt>
                <c:pt idx="92">
                  <c:v>10.03013306325</c:v>
                </c:pt>
                <c:pt idx="93">
                  <c:v>8.9980490340000046</c:v>
                </c:pt>
                <c:pt idx="94">
                  <c:v>8.9262461760750007</c:v>
                </c:pt>
                <c:pt idx="95">
                  <c:v>9.1939295369249994</c:v>
                </c:pt>
                <c:pt idx="96">
                  <c:v>9.0075916860750009</c:v>
                </c:pt>
                <c:pt idx="97">
                  <c:v>8.3037869870625016</c:v>
                </c:pt>
                <c:pt idx="98">
                  <c:v>8.3411000000000008</c:v>
                </c:pt>
                <c:pt idx="99">
                  <c:v>7.0755650323874999</c:v>
                </c:pt>
                <c:pt idx="100">
                  <c:v>6.818316292575</c:v>
                </c:pt>
                <c:pt idx="101">
                  <c:v>6.2729281129500034</c:v>
                </c:pt>
                <c:pt idx="102">
                  <c:v>4.88</c:v>
                </c:pt>
                <c:pt idx="103">
                  <c:v>5.4859999999999998</c:v>
                </c:pt>
                <c:pt idx="104">
                  <c:v>5.9528999999999996</c:v>
                </c:pt>
                <c:pt idx="105">
                  <c:v>5.8340090212499991</c:v>
                </c:pt>
                <c:pt idx="106">
                  <c:v>6.4221000000000004</c:v>
                </c:pt>
                <c:pt idx="107">
                  <c:v>7.2951927609375007</c:v>
                </c:pt>
                <c:pt idx="108">
                  <c:v>7.8846001880624987</c:v>
                </c:pt>
                <c:pt idx="109">
                  <c:v>8.6660821264500019</c:v>
                </c:pt>
                <c:pt idx="110">
                  <c:v>8.2592245780875011</c:v>
                </c:pt>
                <c:pt idx="111">
                  <c:v>7.3166446359375001</c:v>
                </c:pt>
                <c:pt idx="112">
                  <c:v>7.600944190125003</c:v>
                </c:pt>
                <c:pt idx="113">
                  <c:v>7.8932881974375038</c:v>
                </c:pt>
                <c:pt idx="114">
                  <c:v>9.2162472096000023</c:v>
                </c:pt>
                <c:pt idx="115">
                  <c:v>9.2876637621600047</c:v>
                </c:pt>
                <c:pt idx="116">
                  <c:v>9.7274103813900012</c:v>
                </c:pt>
                <c:pt idx="117">
                  <c:v>9.7020328132649993</c:v>
                </c:pt>
                <c:pt idx="118">
                  <c:v>9.8262918553200027</c:v>
                </c:pt>
                <c:pt idx="119">
                  <c:v>9.910690052940005</c:v>
                </c:pt>
                <c:pt idx="120">
                  <c:v>9.6573303664500045</c:v>
                </c:pt>
                <c:pt idx="121">
                  <c:v>9.9000746354999976</c:v>
                </c:pt>
                <c:pt idx="122">
                  <c:v>9.323737406774999</c:v>
                </c:pt>
                <c:pt idx="123">
                  <c:v>8.4536004464999976</c:v>
                </c:pt>
                <c:pt idx="124">
                  <c:v>7.4841133317300006</c:v>
                </c:pt>
                <c:pt idx="125">
                  <c:v>7.74770882328</c:v>
                </c:pt>
                <c:pt idx="126">
                  <c:v>7.6754197800600013</c:v>
                </c:pt>
                <c:pt idx="127">
                  <c:v>7.3641178927350008</c:v>
                </c:pt>
                <c:pt idx="128">
                  <c:v>7.9830561425999997</c:v>
                </c:pt>
                <c:pt idx="129">
                  <c:v>7.8690124834199988</c:v>
                </c:pt>
                <c:pt idx="130">
                  <c:v>6.8477680007999986</c:v>
                </c:pt>
                <c:pt idx="131">
                  <c:v>6.3912501340799999</c:v>
                </c:pt>
                <c:pt idx="132">
                  <c:v>6.5451755747249996</c:v>
                </c:pt>
                <c:pt idx="133">
                  <c:v>6.6740639314050014</c:v>
                </c:pt>
                <c:pt idx="134">
                  <c:v>5.9760298725750012</c:v>
                </c:pt>
                <c:pt idx="135">
                  <c:v>5.5754999999999999</c:v>
                </c:pt>
                <c:pt idx="136">
                  <c:v>6.6564948457799993</c:v>
                </c:pt>
                <c:pt idx="137">
                  <c:v>6.0806776105049982</c:v>
                </c:pt>
                <c:pt idx="138">
                  <c:v>5.2684166076749994</c:v>
                </c:pt>
                <c:pt idx="139">
                  <c:v>4.9968487412999991</c:v>
                </c:pt>
                <c:pt idx="140">
                  <c:v>5.4409707697744469</c:v>
                </c:pt>
                <c:pt idx="141">
                  <c:v>4.9068325998271112</c:v>
                </c:pt>
                <c:pt idx="142">
                  <c:v>4.7959041103865054</c:v>
                </c:pt>
                <c:pt idx="143">
                  <c:v>5.2474913520033226</c:v>
                </c:pt>
                <c:pt idx="144">
                  <c:v>5.4743613716234663</c:v>
                </c:pt>
                <c:pt idx="145">
                  <c:v>5.3139026976686887</c:v>
                </c:pt>
                <c:pt idx="146">
                  <c:v>5.1028793470827116</c:v>
                </c:pt>
                <c:pt idx="147">
                  <c:v>4.9451044714874621</c:v>
                </c:pt>
                <c:pt idx="148">
                  <c:v>4.7408022196424842</c:v>
                </c:pt>
                <c:pt idx="149">
                  <c:v>4.5354133746826699</c:v>
                </c:pt>
                <c:pt idx="150">
                  <c:v>4.5017189396947908</c:v>
                </c:pt>
                <c:pt idx="151">
                  <c:v>4.8642812638499882</c:v>
                </c:pt>
                <c:pt idx="152">
                  <c:v>6.2403261885664714</c:v>
                </c:pt>
                <c:pt idx="153">
                  <c:v>7.7839283558054664</c:v>
                </c:pt>
                <c:pt idx="154">
                  <c:v>8.3871569470620209</c:v>
                </c:pt>
                <c:pt idx="155">
                  <c:v>9.7528866043205547</c:v>
                </c:pt>
                <c:pt idx="156">
                  <c:v>10.991492196251752</c:v>
                </c:pt>
                <c:pt idx="157">
                  <c:v>11.357135464951599</c:v>
                </c:pt>
                <c:pt idx="158">
                  <c:v>10.311285862388827</c:v>
                </c:pt>
                <c:pt idx="159">
                  <c:v>9.2989515190987611</c:v>
                </c:pt>
                <c:pt idx="160">
                  <c:v>8.8285457312769609</c:v>
                </c:pt>
                <c:pt idx="161">
                  <c:v>9.6735105000308472</c:v>
                </c:pt>
                <c:pt idx="162">
                  <c:v>9.802004879658794</c:v>
                </c:pt>
                <c:pt idx="163">
                  <c:v>11.062452599882663</c:v>
                </c:pt>
                <c:pt idx="164">
                  <c:v>13.355586326721747</c:v>
                </c:pt>
                <c:pt idx="165">
                  <c:v>14.082529548732362</c:v>
                </c:pt>
                <c:pt idx="166">
                  <c:v>16.048273509364925</c:v>
                </c:pt>
                <c:pt idx="167">
                  <c:v>15.955588014921309</c:v>
                </c:pt>
                <c:pt idx="168">
                  <c:v>12.254832423908272</c:v>
                </c:pt>
                <c:pt idx="169">
                  <c:v>11.807732148160847</c:v>
                </c:pt>
                <c:pt idx="170">
                  <c:v>10.099100774873836</c:v>
                </c:pt>
                <c:pt idx="171">
                  <c:v>8.7024482753798669</c:v>
                </c:pt>
                <c:pt idx="172">
                  <c:v>10.396273952539389</c:v>
                </c:pt>
                <c:pt idx="173">
                  <c:v>10.855545244866734</c:v>
                </c:pt>
                <c:pt idx="174">
                  <c:v>11.687665386981589</c:v>
                </c:pt>
                <c:pt idx="175">
                  <c:v>13.240468840288614</c:v>
                </c:pt>
                <c:pt idx="176">
                  <c:v>13.077556484047973</c:v>
                </c:pt>
                <c:pt idx="177">
                  <c:v>12.107034059863715</c:v>
                </c:pt>
                <c:pt idx="178">
                  <c:v>12.537249492667943</c:v>
                </c:pt>
                <c:pt idx="179">
                  <c:v>11.957831406370204</c:v>
                </c:pt>
                <c:pt idx="180">
                  <c:v>10.302881543559311</c:v>
                </c:pt>
                <c:pt idx="181">
                  <c:v>10.24136062451019</c:v>
                </c:pt>
                <c:pt idx="182">
                  <c:v>9.5146643252535661</c:v>
                </c:pt>
                <c:pt idx="183">
                  <c:v>9.5535552065523479</c:v>
                </c:pt>
                <c:pt idx="184">
                  <c:v>8.9821812712801581</c:v>
                </c:pt>
                <c:pt idx="185">
                  <c:v>8.4055275532949416</c:v>
                </c:pt>
                <c:pt idx="186">
                  <c:v>8.3249491854891531</c:v>
                </c:pt>
                <c:pt idx="187">
                  <c:v>8.3553950631923453</c:v>
                </c:pt>
                <c:pt idx="188">
                  <c:v>8.021409642031097</c:v>
                </c:pt>
                <c:pt idx="189">
                  <c:v>7.8207251600879557</c:v>
                </c:pt>
                <c:pt idx="190">
                  <c:v>7.782813612075544</c:v>
                </c:pt>
                <c:pt idx="191">
                  <c:v>8.8551305741363873</c:v>
                </c:pt>
                <c:pt idx="192">
                  <c:v>8.2880759332124718</c:v>
                </c:pt>
                <c:pt idx="193">
                  <c:v>8.6413140153547214</c:v>
                </c:pt>
                <c:pt idx="194">
                  <c:v>7.3924815302619962</c:v>
                </c:pt>
                <c:pt idx="195">
                  <c:v>7.3068190536233226</c:v>
                </c:pt>
                <c:pt idx="196">
                  <c:v>7.0201640650229855</c:v>
                </c:pt>
                <c:pt idx="197">
                  <c:v>7.2104811437187903</c:v>
                </c:pt>
                <c:pt idx="198">
                  <c:v>5.0970992681974536</c:v>
                </c:pt>
                <c:pt idx="199">
                  <c:v>6.6471461440140587</c:v>
                </c:pt>
                <c:pt idx="200">
                  <c:v>7.9121462936790152</c:v>
                </c:pt>
                <c:pt idx="201">
                  <c:v>8.1457520928172631</c:v>
                </c:pt>
                <c:pt idx="202">
                  <c:v>8.389022978995051</c:v>
                </c:pt>
                <c:pt idx="203">
                  <c:v>8.6743650792548852</c:v>
                </c:pt>
                <c:pt idx="204">
                  <c:v>8.7332870520130204</c:v>
                </c:pt>
                <c:pt idx="205">
                  <c:v>7.7828742885150692</c:v>
                </c:pt>
                <c:pt idx="206">
                  <c:v>6.5320048938375201</c:v>
                </c:pt>
                <c:pt idx="207">
                  <c:v>7.0404895973537229</c:v>
                </c:pt>
                <c:pt idx="208">
                  <c:v>7.6181182006241492</c:v>
                </c:pt>
                <c:pt idx="209">
                  <c:v>8.4239110436283191</c:v>
                </c:pt>
                <c:pt idx="210">
                  <c:v>8.0516358306417679</c:v>
                </c:pt>
                <c:pt idx="211">
                  <c:v>7.7365526870890449</c:v>
                </c:pt>
                <c:pt idx="212">
                  <c:v>8.2496510693217431</c:v>
                </c:pt>
                <c:pt idx="213">
                  <c:v>8.6911240972919952</c:v>
                </c:pt>
                <c:pt idx="214">
                  <c:v>9.0181668505451889</c:v>
                </c:pt>
                <c:pt idx="215">
                  <c:v>9.572518585323305</c:v>
                </c:pt>
                <c:pt idx="216">
                  <c:v>10.712373936957032</c:v>
                </c:pt>
                <c:pt idx="217">
                  <c:v>12.370789723522831</c:v>
                </c:pt>
                <c:pt idx="218">
                  <c:v>11.901227939634301</c:v>
                </c:pt>
                <c:pt idx="219">
                  <c:v>12.504720206257957</c:v>
                </c:pt>
                <c:pt idx="220">
                  <c:v>12.963324725979565</c:v>
                </c:pt>
                <c:pt idx="221">
                  <c:v>13.480198429167551</c:v>
                </c:pt>
                <c:pt idx="222">
                  <c:v>15.128517112848991</c:v>
                </c:pt>
                <c:pt idx="223">
                  <c:v>14.942915912543178</c:v>
                </c:pt>
                <c:pt idx="224">
                  <c:v>15.77545475327566</c:v>
                </c:pt>
                <c:pt idx="225">
                  <c:v>16.475355332568352</c:v>
                </c:pt>
                <c:pt idx="226">
                  <c:v>16.05386477407486</c:v>
                </c:pt>
                <c:pt idx="227">
                  <c:v>16.527732889903199</c:v>
                </c:pt>
                <c:pt idx="228">
                  <c:v>16.262909043846712</c:v>
                </c:pt>
                <c:pt idx="229">
                  <c:v>13.655745142980654</c:v>
                </c:pt>
                <c:pt idx="230">
                  <c:v>11.814268087955291</c:v>
                </c:pt>
                <c:pt idx="231">
                  <c:v>10.095716870077839</c:v>
                </c:pt>
                <c:pt idx="232">
                  <c:v>8.7372073010687608</c:v>
                </c:pt>
                <c:pt idx="233">
                  <c:v>9.3385467693655215</c:v>
                </c:pt>
                <c:pt idx="234">
                  <c:v>8.8211974985267769</c:v>
                </c:pt>
                <c:pt idx="235">
                  <c:v>8.6872546276193354</c:v>
                </c:pt>
                <c:pt idx="236">
                  <c:v>9.449904774165141</c:v>
                </c:pt>
                <c:pt idx="237">
                  <c:v>9.5710251985477779</c:v>
                </c:pt>
                <c:pt idx="238">
                  <c:v>9.2790126602754679</c:v>
                </c:pt>
                <c:pt idx="239">
                  <c:v>9.4502247669932</c:v>
                </c:pt>
                <c:pt idx="240">
                  <c:v>10.262554140853652</c:v>
                </c:pt>
                <c:pt idx="241">
                  <c:v>11.36567119333829</c:v>
                </c:pt>
                <c:pt idx="242">
                  <c:v>11.67896112549497</c:v>
                </c:pt>
                <c:pt idx="243">
                  <c:v>11.498990368075328</c:v>
                </c:pt>
                <c:pt idx="244">
                  <c:v>11.356746548579096</c:v>
                </c:pt>
                <c:pt idx="245">
                  <c:v>11.622383709479207</c:v>
                </c:pt>
                <c:pt idx="246">
                  <c:v>11.661122523898115</c:v>
                </c:pt>
                <c:pt idx="247">
                  <c:v>12.04467441840041</c:v>
                </c:pt>
                <c:pt idx="248">
                  <c:v>13.155326973313558</c:v>
                </c:pt>
                <c:pt idx="249">
                  <c:v>14.547850674534324</c:v>
                </c:pt>
                <c:pt idx="250">
                  <c:v>15.491354008204928</c:v>
                </c:pt>
                <c:pt idx="251">
                  <c:v>18.049495544427955</c:v>
                </c:pt>
                <c:pt idx="252">
                  <c:v>17.843326543534939</c:v>
                </c:pt>
                <c:pt idx="253">
                  <c:v>17.695703939589276</c:v>
                </c:pt>
                <c:pt idx="254">
                  <c:v>17.466367185692956</c:v>
                </c:pt>
                <c:pt idx="255">
                  <c:v>15.242233851492855</c:v>
                </c:pt>
                <c:pt idx="256">
                  <c:v>14.791134150992164</c:v>
                </c:pt>
                <c:pt idx="257">
                  <c:v>14.84067137973093</c:v>
                </c:pt>
                <c:pt idx="258">
                  <c:v>14.837302078729778</c:v>
                </c:pt>
                <c:pt idx="259">
                  <c:v>14.37</c:v>
                </c:pt>
                <c:pt idx="260">
                  <c:v>15.080873251513941</c:v>
                </c:pt>
                <c:pt idx="261">
                  <c:v>15.780658358371252</c:v>
                </c:pt>
                <c:pt idx="262">
                  <c:v>15.448105383320627</c:v>
                </c:pt>
                <c:pt idx="263">
                  <c:v>14.661117311110971</c:v>
                </c:pt>
                <c:pt idx="264">
                  <c:v>11.284093476443708</c:v>
                </c:pt>
                <c:pt idx="265">
                  <c:v>9.9551831055847479</c:v>
                </c:pt>
                <c:pt idx="266">
                  <c:v>7.4686039734355472</c:v>
                </c:pt>
                <c:pt idx="267">
                  <c:v>6.7590713497456889</c:v>
                </c:pt>
                <c:pt idx="268">
                  <c:v>7.14</c:v>
                </c:pt>
                <c:pt idx="269">
                  <c:v>8.8923689519813198</c:v>
                </c:pt>
                <c:pt idx="270">
                  <c:v>7.0760493444459938</c:v>
                </c:pt>
              </c:numCache>
            </c:numRef>
          </c:val>
          <c:smooth val="0"/>
          <c:extLst>
            <c:ext xmlns:c16="http://schemas.microsoft.com/office/drawing/2014/chart" uri="{C3380CC4-5D6E-409C-BE32-E72D297353CC}">
              <c16:uniqueId val="{00000000-FC52-4663-B184-3B749CC1D438}"/>
            </c:ext>
          </c:extLst>
        </c:ser>
        <c:dLbls>
          <c:showLegendKey val="0"/>
          <c:showVal val="0"/>
          <c:showCatName val="0"/>
          <c:showSerName val="0"/>
          <c:showPercent val="0"/>
          <c:showBubbleSize val="0"/>
        </c:dLbls>
        <c:smooth val="0"/>
        <c:axId val="695441992"/>
        <c:axId val="695440352"/>
      </c:lineChart>
      <c:dateAx>
        <c:axId val="695441992"/>
        <c:scaling>
          <c:orientation val="minMax"/>
          <c:min val="44652"/>
        </c:scaling>
        <c:delete val="0"/>
        <c:axPos val="b"/>
        <c:title>
          <c:tx>
            <c:rich>
              <a:bodyPr rot="0" spcFirstLastPara="1" vertOverflow="ellipsis" vert="horz" wrap="square" anchor="ctr" anchorCtr="1"/>
              <a:lstStyle/>
              <a:p>
                <a:pPr>
                  <a:defRPr sz="1200" b="0" i="0" u="none" strike="noStrike" kern="1200" baseline="0">
                    <a:solidFill>
                      <a:schemeClr val="bg1"/>
                    </a:solidFill>
                    <a:latin typeface="+mn-lt"/>
                    <a:ea typeface="+mn-ea"/>
                    <a:cs typeface="+mn-cs"/>
                  </a:defRPr>
                </a:pPr>
                <a:r>
                  <a:rPr lang="en-US">
                    <a:solidFill>
                      <a:schemeClr val="bg1"/>
                    </a:solidFill>
                  </a:rPr>
                  <a:t>Source: AHDB</a:t>
                </a:r>
              </a:p>
            </c:rich>
          </c:tx>
          <c:layout>
            <c:manualLayout>
              <c:xMode val="edge"/>
              <c:yMode val="edge"/>
              <c:x val="9.696823065282181E-4"/>
              <c:y val="0.9484062843018376"/>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bg1"/>
                  </a:solidFill>
                  <a:latin typeface="+mn-lt"/>
                  <a:ea typeface="+mn-ea"/>
                  <a:cs typeface="+mn-cs"/>
                </a:defRPr>
              </a:pPr>
              <a:endParaRPr lang="en-US"/>
            </a:p>
          </c:txPr>
        </c:title>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2700000" spcFirstLastPara="1" vertOverflow="ellipsis" wrap="square" anchor="ctr" anchorCtr="1"/>
          <a:lstStyle/>
          <a:p>
            <a:pPr>
              <a:defRPr sz="1200" b="0" i="0" u="none" strike="noStrike" kern="1200" baseline="0">
                <a:solidFill>
                  <a:schemeClr val="tx1"/>
                </a:solidFill>
                <a:latin typeface="+mn-lt"/>
                <a:ea typeface="+mn-ea"/>
                <a:cs typeface="+mn-cs"/>
              </a:defRPr>
            </a:pPr>
            <a:endParaRPr lang="en-US"/>
          </a:p>
        </c:txPr>
        <c:crossAx val="695440352"/>
        <c:crosses val="autoZero"/>
        <c:auto val="0"/>
        <c:lblOffset val="100"/>
        <c:baseTimeUnit val="days"/>
        <c:majorUnit val="3"/>
        <c:majorTimeUnit val="months"/>
      </c:dateAx>
      <c:valAx>
        <c:axId val="695440352"/>
        <c:scaling>
          <c:orientation val="minMax"/>
          <c:max val="20"/>
          <c:min val="4"/>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chemeClr val="tx1"/>
                    </a:solidFill>
                    <a:latin typeface="+mn-lt"/>
                    <a:ea typeface="+mn-ea"/>
                    <a:cs typeface="+mn-cs"/>
                  </a:defRPr>
                </a:pPr>
                <a:r>
                  <a:rPr lang="en-GB"/>
                  <a:t>Pence per litre of milk</a:t>
                </a:r>
              </a:p>
            </c:rich>
          </c:tx>
          <c:overlay val="0"/>
          <c:spPr>
            <a:noFill/>
            <a:ln>
              <a:noFill/>
            </a:ln>
            <a:effectLst/>
          </c:spPr>
          <c:txPr>
            <a:bodyPr rot="-5400000" spcFirstLastPara="1" vertOverflow="ellipsis" vert="horz" wrap="square" anchor="ctr" anchorCtr="1"/>
            <a:lstStyle/>
            <a:p>
              <a:pPr>
                <a:defRPr sz="1200" b="0" i="0" u="none" strike="noStrike" kern="1200" baseline="0">
                  <a:solidFill>
                    <a:schemeClr val="tx1"/>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solidFill>
                <a:latin typeface="+mn-lt"/>
                <a:ea typeface="+mn-ea"/>
                <a:cs typeface="+mn-cs"/>
              </a:defRPr>
            </a:pPr>
            <a:endParaRPr lang="en-US"/>
          </a:p>
        </c:txPr>
        <c:crossAx val="695441992"/>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200">
          <a:solidFill>
            <a:schemeClr val="tx1"/>
          </a:solidFill>
        </a:defRPr>
      </a:pPr>
      <a:endParaRPr lang="en-US"/>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8.sv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svg"/><Relationship Id="rId1" Type="http://schemas.openxmlformats.org/officeDocument/2006/relationships/image" Target="../media/image1.png"/><Relationship Id="rId6" Type="http://schemas.openxmlformats.org/officeDocument/2006/relationships/image" Target="../media/image6.svg"/><Relationship Id="rId5" Type="http://schemas.openxmlformats.org/officeDocument/2006/relationships/image" Target="../media/image5.png"/><Relationship Id="rId4" Type="http://schemas.openxmlformats.org/officeDocument/2006/relationships/image" Target="../media/image4.sv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image" Target="../media/image9.png"/></Relationships>
</file>

<file path=xl/drawings/_rels/drawing4.xml.rels><?xml version="1.0" encoding="UTF-8" standalone="yes"?>
<Relationships xmlns="http://schemas.openxmlformats.org/package/2006/relationships"><Relationship Id="rId1" Type="http://schemas.openxmlformats.org/officeDocument/2006/relationships/image" Target="../media/image10.png"/></Relationships>
</file>

<file path=xl/drawings/drawing1.xml><?xml version="1.0" encoding="utf-8"?>
<xdr:wsDr xmlns:xdr="http://schemas.openxmlformats.org/drawingml/2006/spreadsheetDrawing" xmlns:a="http://schemas.openxmlformats.org/drawingml/2006/main">
  <xdr:twoCellAnchor editAs="oneCell">
    <xdr:from>
      <xdr:col>0</xdr:col>
      <xdr:colOff>497193</xdr:colOff>
      <xdr:row>0</xdr:row>
      <xdr:rowOff>0</xdr:rowOff>
    </xdr:from>
    <xdr:to>
      <xdr:col>7</xdr:col>
      <xdr:colOff>19686</xdr:colOff>
      <xdr:row>1</xdr:row>
      <xdr:rowOff>2970</xdr:rowOff>
    </xdr:to>
    <xdr:pic>
      <xdr:nvPicPr>
        <xdr:cNvPr id="2" name="Gradientbar">
          <a:extLst>
            <a:ext uri="{FF2B5EF4-FFF2-40B4-BE49-F238E27FC236}">
              <a16:creationId xmlns:a16="http://schemas.microsoft.com/office/drawing/2014/main" id="{79F5A469-EE1E-154A-93F0-5864343818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497193" y="0"/>
          <a:ext cx="5986158" cy="345870"/>
        </a:xfrm>
        <a:prstGeom prst="rect">
          <a:avLst/>
        </a:prstGeom>
      </xdr:spPr>
    </xdr:pic>
    <xdr:clientData/>
  </xdr:twoCellAnchor>
  <xdr:twoCellAnchor editAs="oneCell">
    <xdr:from>
      <xdr:col>1</xdr:col>
      <xdr:colOff>423958</xdr:colOff>
      <xdr:row>0</xdr:row>
      <xdr:rowOff>0</xdr:rowOff>
    </xdr:from>
    <xdr:to>
      <xdr:col>12</xdr:col>
      <xdr:colOff>344377</xdr:colOff>
      <xdr:row>1</xdr:row>
      <xdr:rowOff>20734</xdr:rowOff>
    </xdr:to>
    <xdr:pic>
      <xdr:nvPicPr>
        <xdr:cNvPr id="3" name="Gradientbar with swoosh 2" hidden="1">
          <a:extLst>
            <a:ext uri="{FF2B5EF4-FFF2-40B4-BE49-F238E27FC236}">
              <a16:creationId xmlns:a16="http://schemas.microsoft.com/office/drawing/2014/main" id="{597E4208-3CCD-A44F-810C-FC100F601AEE}"/>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423958" y="0"/>
          <a:ext cx="9188244" cy="352204"/>
        </a:xfrm>
        <a:prstGeom prst="rect">
          <a:avLst/>
        </a:prstGeom>
      </xdr:spPr>
    </xdr:pic>
    <xdr:clientData/>
  </xdr:twoCellAnchor>
  <xdr:twoCellAnchor editAs="oneCell">
    <xdr:from>
      <xdr:col>0</xdr:col>
      <xdr:colOff>460659</xdr:colOff>
      <xdr:row>0</xdr:row>
      <xdr:rowOff>0</xdr:rowOff>
    </xdr:from>
    <xdr:to>
      <xdr:col>9</xdr:col>
      <xdr:colOff>672725</xdr:colOff>
      <xdr:row>1</xdr:row>
      <xdr:rowOff>20300</xdr:rowOff>
    </xdr:to>
    <xdr:pic>
      <xdr:nvPicPr>
        <xdr:cNvPr id="4" name="Gradientbar with swoosh 1" hidden="1">
          <a:extLst>
            <a:ext uri="{FF2B5EF4-FFF2-40B4-BE49-F238E27FC236}">
              <a16:creationId xmlns:a16="http://schemas.microsoft.com/office/drawing/2014/main" id="{6EF665A3-CFB4-8848-88AB-516555652CD5}"/>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460659" y="0"/>
          <a:ext cx="7886698" cy="347960"/>
        </a:xfrm>
        <a:prstGeom prst="rect">
          <a:avLst/>
        </a:prstGeom>
      </xdr:spPr>
    </xdr:pic>
    <xdr:clientData/>
  </xdr:twoCellAnchor>
  <xdr:twoCellAnchor editAs="oneCell">
    <xdr:from>
      <xdr:col>0</xdr:col>
      <xdr:colOff>0</xdr:colOff>
      <xdr:row>0</xdr:row>
      <xdr:rowOff>0</xdr:rowOff>
    </xdr:from>
    <xdr:to>
      <xdr:col>0</xdr:col>
      <xdr:colOff>515620</xdr:colOff>
      <xdr:row>1</xdr:row>
      <xdr:rowOff>2168</xdr:rowOff>
    </xdr:to>
    <xdr:pic>
      <xdr:nvPicPr>
        <xdr:cNvPr id="5" name="Logo">
          <a:extLst>
            <a:ext uri="{FF2B5EF4-FFF2-40B4-BE49-F238E27FC236}">
              <a16:creationId xmlns:a16="http://schemas.microsoft.com/office/drawing/2014/main" id="{2EF123F5-E01E-2847-BBA1-2D83FB93896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 uri="{96DAC541-7B7A-43D3-8B79-37D633B846F1}">
              <asvg:svgBlip xmlns:asvg="http://schemas.microsoft.com/office/drawing/2016/SVG/main" r:embed="rId8"/>
            </a:ext>
          </a:extLst>
        </a:blip>
        <a:stretch>
          <a:fillRect/>
        </a:stretch>
      </xdr:blipFill>
      <xdr:spPr>
        <a:xfrm>
          <a:off x="581025" y="0"/>
          <a:ext cx="508000" cy="34506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555624</xdr:colOff>
      <xdr:row>2</xdr:row>
      <xdr:rowOff>155573</xdr:rowOff>
    </xdr:from>
    <xdr:to>
      <xdr:col>11</xdr:col>
      <xdr:colOff>283457</xdr:colOff>
      <xdr:row>30</xdr:row>
      <xdr:rowOff>27398</xdr:rowOff>
    </xdr:to>
    <xdr:graphicFrame macro="">
      <xdr:nvGraphicFramePr>
        <xdr:cNvPr id="4" name="Chart 3">
          <a:extLst>
            <a:ext uri="{FF2B5EF4-FFF2-40B4-BE49-F238E27FC236}">
              <a16:creationId xmlns:a16="http://schemas.microsoft.com/office/drawing/2014/main" id="{00000000-0008-0000-01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0.83204</cdr:x>
      <cdr:y>0</cdr:y>
    </cdr:from>
    <cdr:to>
      <cdr:x>0.9765</cdr:x>
      <cdr:y>0.11215</cdr:y>
    </cdr:to>
    <cdr:pic>
      <cdr:nvPicPr>
        <cdr:cNvPr id="2" name="Picture 1">
          <a:extLst xmlns:a="http://schemas.openxmlformats.org/drawingml/2006/main">
            <a:ext uri="{FF2B5EF4-FFF2-40B4-BE49-F238E27FC236}">
              <a16:creationId xmlns:a16="http://schemas.microsoft.com/office/drawing/2014/main" id="{A5F5DE0B-73F1-1BF8-97B9-7F96589AAF81}"/>
            </a:ext>
          </a:extLst>
        </cdr:cNvPr>
        <cdr:cNvPicPr>
          <a:picLocks xmlns:a="http://schemas.openxmlformats.org/drawingml/2006/main" noChangeAspect="1" noChangeArrowheads="1"/>
        </cdr:cNvPicPr>
      </cdr:nvPicPr>
      <cdr:blipFill>
        <a:blip xmlns:a="http://schemas.openxmlformats.org/drawingml/2006/main" xmlns:r="http://schemas.openxmlformats.org/officeDocument/2006/relationships" r:embed="rId1">
          <a:extLst>
            <a:ext uri="{28A0092B-C50C-407E-A947-70E740481C1C}">
              <a14:useLocalDpi xmlns:a14="http://schemas.microsoft.com/office/drawing/2010/main" val="0"/>
            </a:ext>
          </a:extLst>
        </a:blip>
        <a:srcRect xmlns:a="http://schemas.openxmlformats.org/drawingml/2006/main"/>
        <a:stretch xmlns:a="http://schemas.openxmlformats.org/drawingml/2006/main">
          <a:fillRect/>
        </a:stretch>
      </cdr:blipFill>
      <cdr:spPr bwMode="auto">
        <a:xfrm xmlns:a="http://schemas.openxmlformats.org/drawingml/2006/main">
          <a:off x="5653741" y="0"/>
          <a:ext cx="981605" cy="478246"/>
        </a:xfrm>
        <a:prstGeom xmlns:a="http://schemas.openxmlformats.org/drawingml/2006/main" prst="rect">
          <a:avLst/>
        </a:prstGeom>
        <a:noFill xmlns:a="http://schemas.openxmlformats.org/drawingml/2006/main"/>
        <a:extLst xmlns:a="http://schemas.openxmlformats.org/drawingml/2006/main">
          <a:ext uri="{909E8E84-426E-40DD-AFC4-6F175D3DCCD1}">
            <a14:hiddenFill xmlns:a14="http://schemas.microsoft.com/office/drawing/2010/main">
              <a:solidFill>
                <a:srgbClr val="FFFFFF"/>
              </a:solidFill>
            </a14:hiddenFill>
          </a:ext>
        </a:extLst>
      </cdr:spPr>
    </cdr:pic>
  </cdr:relSizeAnchor>
</c:userShapes>
</file>

<file path=xl/drawings/drawing4.xml><?xml version="1.0" encoding="utf-8"?>
<xdr:wsDr xmlns:xdr="http://schemas.openxmlformats.org/drawingml/2006/spreadsheetDrawing" xmlns:a="http://schemas.openxmlformats.org/drawingml/2006/main">
  <xdr:oneCellAnchor>
    <xdr:from>
      <xdr:col>9</xdr:col>
      <xdr:colOff>518160</xdr:colOff>
      <xdr:row>12</xdr:row>
      <xdr:rowOff>60960</xdr:rowOff>
    </xdr:from>
    <xdr:ext cx="1177290" cy="768235"/>
    <xdr:pic>
      <xdr:nvPicPr>
        <xdr:cNvPr id="2" name="Picture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stretch>
          <a:fillRect/>
        </a:stretch>
      </xdr:blipFill>
      <xdr:spPr>
        <a:xfrm>
          <a:off x="9033510" y="3118485"/>
          <a:ext cx="1177290" cy="768235"/>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ahdb-wpfs01\Market%20Intelligence\Users\yaos\Downloads\UK-Beef-Trade-February-20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ookups"/>
    </sheetNames>
    <sheetDataSet>
      <sheetData sheetId="0" refreshError="1"/>
    </sheetDataSet>
  </externalBook>
</externalLink>
</file>

<file path=xl/persons/person.xml><?xml version="1.0" encoding="utf-8"?>
<personList xmlns="http://schemas.microsoft.com/office/spreadsheetml/2018/threadedcomments" xmlns:x="http://schemas.openxmlformats.org/spreadsheetml/2006/main">
  <person displayName="Freya Shuttleworth" id="{F26598F5-0F08-4C73-80F1-C61B9EB553DD}" userId="S::Freya.Shuttleworth@ahdb.org.uk::0cedbce2-189c-4cb8-a6d1-cfd8dd41d942" providerId="AD"/>
</personList>
</file>

<file path=xl/theme/theme1.xml><?xml version="1.0" encoding="utf-8"?>
<a:theme xmlns:a="http://schemas.openxmlformats.org/drawingml/2006/main" name="AHDB graphs">
  <a:themeElements>
    <a:clrScheme name="AHDB graphs">
      <a:dk1>
        <a:srgbClr val="575756"/>
      </a:dk1>
      <a:lt1>
        <a:srgbClr val="FFFFFF"/>
      </a:lt1>
      <a:dk2>
        <a:srgbClr val="974008"/>
      </a:dk2>
      <a:lt2>
        <a:srgbClr val="AA977D"/>
      </a:lt2>
      <a:accent1>
        <a:srgbClr val="0090D3"/>
      </a:accent1>
      <a:accent2>
        <a:srgbClr val="C8D300"/>
      </a:accent2>
      <a:accent3>
        <a:srgbClr val="DA5914"/>
      </a:accent3>
      <a:accent4>
        <a:srgbClr val="B3C6CE"/>
      </a:accent4>
      <a:accent5>
        <a:srgbClr val="1E4451"/>
      </a:accent5>
      <a:accent6>
        <a:srgbClr val="DFD5B3"/>
      </a:accent6>
      <a:hlink>
        <a:srgbClr val="0090D3"/>
      </a:hlink>
      <a:folHlink>
        <a:srgbClr val="8B9C2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AHDB graphs" id="{1529553C-77AA-764C-905C-4490102FD0A5}" vid="{5A95833A-36D2-0745-9D94-86AA2FAA49D3}"/>
    </a:ext>
  </a:extLst>
</a:theme>
</file>

<file path=xl/threadedComments/threadedComment1.xml><?xml version="1.0" encoding="utf-8"?>
<ThreadedComments xmlns="http://schemas.microsoft.com/office/spreadsheetml/2018/threadedcomments" xmlns:x="http://schemas.openxmlformats.org/spreadsheetml/2006/main">
  <threadedComment ref="C1" dT="2023-03-02T10:27:51.28" personId="{F26598F5-0F08-4C73-80F1-C61B9EB553DD}" id="{224AE922-5A1B-42C5-BF1F-D8C69B8A18D1}">
    <text>calculation</text>
  </threadedComment>
  <threadedComment ref="G1" dT="2023-03-02T10:28:01.69" personId="{F26598F5-0F08-4C73-80F1-C61B9EB553DD}" id="{D09A885C-8365-4061-B2CB-CCEE9D6BF3D8}">
    <text>calculation</text>
  </threadedComment>
  <threadedComment ref="H2" dT="2023-03-02T10:29:05.55" personId="{F26598F5-0F08-4C73-80F1-C61B9EB553DD}" id="{F4687C3C-E46D-4D5F-9364-725A69F67C60}">
    <text>calculation</text>
  </threadedComment>
</ThreadedComments>
</file>

<file path=xl/threadedComments/threadedComment2.xml><?xml version="1.0" encoding="utf-8"?>
<ThreadedComments xmlns="http://schemas.microsoft.com/office/spreadsheetml/2018/threadedcomments" xmlns:x="http://schemas.openxmlformats.org/spreadsheetml/2006/main">
  <threadedComment ref="K23" dT="2024-04-15T07:40:06.44" personId="{F26598F5-0F08-4C73-80F1-C61B9EB553DD}" id="{B8DAA4EF-771C-4B49-B5FA-6DFAD4531485}">
    <text>12 week rather than 52 week data</text>
  </threadedComment>
  <threadedComment ref="L23" dT="2024-04-15T07:46:25.67" personId="{F26598F5-0F08-4C73-80F1-C61B9EB553DD}" id="{664E73BC-786F-45FC-A901-45D41D1E0EE1}">
    <text>12 week data</text>
  </threadedComment>
  <threadedComment ref="M23" dT="2024-04-15T07:46:34.13" personId="{F26598F5-0F08-4C73-80F1-C61B9EB553DD}" id="{0A81E762-93A1-471D-B0E5-44CB19304E86}">
    <text>12 week data</text>
  </threadedComment>
  <threadedComment ref="N23" dT="2024-04-15T07:46:19.18" personId="{F26598F5-0F08-4C73-80F1-C61B9EB553DD}" id="{248C027A-4251-45B5-ADFE-A62FC0ABF656}">
    <text>12 week data</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www.gov.uk/search/research-and-statistics?content_store_document_type=upcoming_statistics&amp;keywords=&amp;level_one_taxon=&amp;organisations%5B%5D=department-for-environment-food-rural-affairs&amp;public_timestamp%5Bfrom%5D=&amp;public_timestamp%5Bto%5D=" TargetMode="External"/><Relationship Id="rId1" Type="http://schemas.openxmlformats.org/officeDocument/2006/relationships/hyperlink" Target="https://www.gov.uk/government/statistics/uk-milk-prices-and-composition-of-milk" TargetMode="External"/><Relationship Id="rId6" Type="http://schemas.microsoft.com/office/2017/10/relationships/threadedComment" Target="../threadedComments/threadedComment1.xm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 Id="rId4" Type="http://schemas.microsoft.com/office/2017/10/relationships/threadedComment" Target="../threadedComments/threadedComment2.xm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ahdb.org.uk/" TargetMode="External"/><Relationship Id="rId1" Type="http://schemas.openxmlformats.org/officeDocument/2006/relationships/hyperlink" Target="mailto:mi@ahdb.org.uk" TargetMode="Externa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s://ahdb.org.uk/" TargetMode="External"/><Relationship Id="rId1" Type="http://schemas.openxmlformats.org/officeDocument/2006/relationships/hyperlink" Target="mailto:mi@ahdb.org.uk" TargetMode="External"/><Relationship Id="rId4"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279"/>
  <sheetViews>
    <sheetView zoomScaleNormal="100" zoomScaleSheetLayoutView="143" zoomScalePageLayoutView="123" workbookViewId="0">
      <pane xSplit="2" ySplit="8" topLeftCell="C273" activePane="bottomRight" state="frozen"/>
      <selection activeCell="C241" sqref="C241"/>
      <selection pane="topRight" activeCell="C241" sqref="C241"/>
      <selection pane="bottomLeft" activeCell="C241" sqref="C241"/>
      <selection pane="bottomRight" activeCell="E279" sqref="E279"/>
    </sheetView>
  </sheetViews>
  <sheetFormatPr defaultColWidth="11.453125" defaultRowHeight="15.5"/>
  <cols>
    <col min="1" max="1" width="8.81640625" style="69" customWidth="1"/>
    <col min="2" max="2" width="12" style="69" customWidth="1"/>
    <col min="3" max="3" width="17" style="69" customWidth="1"/>
    <col min="4" max="4" width="15.81640625" style="69" customWidth="1"/>
    <col min="5" max="5" width="16" style="69" customWidth="1"/>
    <col min="6" max="10" width="11.453125" style="69"/>
    <col min="11" max="11" width="9.81640625" style="69" customWidth="1"/>
    <col min="12" max="16384" width="11.453125" style="69"/>
  </cols>
  <sheetData>
    <row r="1" spans="1:20" s="64" customFormat="1" ht="27" customHeight="1"/>
    <row r="2" spans="1:20" s="66" customFormat="1" ht="21" customHeight="1">
      <c r="A2" s="77" t="s">
        <v>45</v>
      </c>
      <c r="B2" s="77"/>
      <c r="C2" s="77"/>
      <c r="D2" s="77"/>
      <c r="E2" s="77"/>
      <c r="F2" s="77"/>
      <c r="G2" s="77"/>
      <c r="H2" s="77"/>
      <c r="I2" s="77"/>
      <c r="J2" s="77"/>
      <c r="L2" s="65"/>
    </row>
    <row r="3" spans="1:20" ht="15" customHeight="1">
      <c r="A3" s="67" t="s">
        <v>63</v>
      </c>
      <c r="B3" s="67"/>
      <c r="C3" s="67"/>
      <c r="D3" s="67"/>
      <c r="E3" s="67"/>
      <c r="F3" s="67"/>
      <c r="G3" s="67"/>
      <c r="H3" s="67"/>
      <c r="I3" s="67"/>
      <c r="J3" s="67"/>
      <c r="L3" s="68"/>
    </row>
    <row r="4" spans="1:20" s="70" customFormat="1" ht="13.5" customHeight="1">
      <c r="A4" s="67" t="s">
        <v>50</v>
      </c>
      <c r="B4" s="67"/>
      <c r="C4" s="67"/>
      <c r="D4" s="67"/>
      <c r="E4" s="67"/>
      <c r="F4" s="67"/>
      <c r="G4" s="67"/>
      <c r="H4" s="67"/>
      <c r="I4" s="67"/>
      <c r="J4" s="67"/>
      <c r="L4" s="68"/>
      <c r="N4" s="71"/>
      <c r="O4" s="71"/>
      <c r="P4" s="71"/>
      <c r="Q4" s="71"/>
      <c r="R4" s="71"/>
      <c r="S4" s="71"/>
      <c r="T4" s="71"/>
    </row>
    <row r="5" spans="1:20" s="70" customFormat="1" ht="14.25" customHeight="1">
      <c r="A5" s="67" t="s">
        <v>71</v>
      </c>
      <c r="B5" s="67"/>
      <c r="C5" s="67"/>
      <c r="D5" s="67"/>
      <c r="E5" s="67"/>
      <c r="F5" s="67"/>
      <c r="G5" s="67"/>
      <c r="H5" s="67"/>
      <c r="I5" s="67"/>
      <c r="J5" s="67"/>
      <c r="L5" s="68"/>
      <c r="N5" s="71"/>
      <c r="O5" s="71"/>
      <c r="P5" s="71"/>
      <c r="Q5" s="71"/>
      <c r="R5" s="71"/>
      <c r="S5" s="71"/>
      <c r="T5" s="71"/>
    </row>
    <row r="6" spans="1:20" s="70" customFormat="1" ht="10.5" customHeight="1">
      <c r="N6" s="71"/>
      <c r="O6" s="71"/>
      <c r="P6" s="71"/>
      <c r="Q6" s="71"/>
      <c r="R6" s="71"/>
      <c r="S6" s="71"/>
      <c r="T6" s="71"/>
    </row>
    <row r="7" spans="1:20" ht="46.5">
      <c r="B7" s="72" t="s">
        <v>3</v>
      </c>
      <c r="C7" s="73" t="s">
        <v>43</v>
      </c>
      <c r="D7" s="73" t="s">
        <v>29</v>
      </c>
      <c r="E7" s="73" t="s">
        <v>44</v>
      </c>
    </row>
    <row r="8" spans="1:20">
      <c r="B8" s="72"/>
      <c r="C8" s="74" t="s">
        <v>4</v>
      </c>
      <c r="D8" s="74" t="s">
        <v>30</v>
      </c>
      <c r="E8" s="74" t="s">
        <v>30</v>
      </c>
    </row>
    <row r="9" spans="1:20">
      <c r="B9" s="78">
        <v>37895</v>
      </c>
      <c r="C9" s="80">
        <v>1030</v>
      </c>
      <c r="D9" s="81">
        <v>5.3304255691650022</v>
      </c>
      <c r="E9" s="81"/>
    </row>
    <row r="10" spans="1:20">
      <c r="B10" s="79">
        <v>37926</v>
      </c>
      <c r="C10" s="82">
        <v>980</v>
      </c>
      <c r="D10" s="83">
        <v>5.0716670463900018</v>
      </c>
      <c r="E10" s="83">
        <f t="shared" ref="E10:E73" si="0">D10-D9</f>
        <v>-0.25875852277500044</v>
      </c>
    </row>
    <row r="11" spans="1:20">
      <c r="B11" s="78">
        <v>37956</v>
      </c>
      <c r="C11" s="80">
        <v>980</v>
      </c>
      <c r="D11" s="81">
        <v>5.0716670463900018</v>
      </c>
      <c r="E11" s="81">
        <f t="shared" si="0"/>
        <v>0</v>
      </c>
    </row>
    <row r="12" spans="1:20">
      <c r="B12" s="79">
        <v>37987</v>
      </c>
      <c r="C12" s="82">
        <v>950</v>
      </c>
      <c r="D12" s="83">
        <v>4.9959155847375012</v>
      </c>
      <c r="E12" s="83">
        <f t="shared" si="0"/>
        <v>-7.5751461652500574E-2</v>
      </c>
    </row>
    <row r="13" spans="1:20">
      <c r="B13" s="78">
        <v>38018</v>
      </c>
      <c r="C13" s="80">
        <v>910</v>
      </c>
      <c r="D13" s="81">
        <v>4.7855612443275017</v>
      </c>
      <c r="E13" s="81">
        <f t="shared" si="0"/>
        <v>-0.21035434040999945</v>
      </c>
    </row>
    <row r="14" spans="1:20">
      <c r="B14" s="79">
        <v>38047</v>
      </c>
      <c r="C14" s="82">
        <v>900</v>
      </c>
      <c r="D14" s="83">
        <v>4.732972659225001</v>
      </c>
      <c r="E14" s="83">
        <f t="shared" si="0"/>
        <v>-5.2588585102500751E-2</v>
      </c>
    </row>
    <row r="15" spans="1:20">
      <c r="B15" s="78">
        <v>38078</v>
      </c>
      <c r="C15" s="80">
        <v>910</v>
      </c>
      <c r="D15" s="81">
        <v>4.7855612443275017</v>
      </c>
      <c r="E15" s="81">
        <f t="shared" si="0"/>
        <v>5.2588585102500751E-2</v>
      </c>
    </row>
    <row r="16" spans="1:20">
      <c r="B16" s="79">
        <v>38108</v>
      </c>
      <c r="C16" s="82">
        <v>930</v>
      </c>
      <c r="D16" s="83">
        <v>4.8907384145325015</v>
      </c>
      <c r="E16" s="83">
        <f t="shared" si="0"/>
        <v>0.10517717020499973</v>
      </c>
    </row>
    <row r="17" spans="2:5">
      <c r="B17" s="78">
        <v>38139</v>
      </c>
      <c r="C17" s="80">
        <v>960</v>
      </c>
      <c r="D17" s="81">
        <v>5.0485041698400011</v>
      </c>
      <c r="E17" s="81">
        <f t="shared" si="0"/>
        <v>0.15776575530749959</v>
      </c>
    </row>
    <row r="18" spans="2:5">
      <c r="B18" s="79">
        <v>38169</v>
      </c>
      <c r="C18" s="82">
        <v>960</v>
      </c>
      <c r="D18" s="83">
        <v>5.0485041698400011</v>
      </c>
      <c r="E18" s="83">
        <f t="shared" si="0"/>
        <v>0</v>
      </c>
    </row>
    <row r="19" spans="2:5">
      <c r="B19" s="78">
        <v>38200</v>
      </c>
      <c r="C19" s="80">
        <v>930</v>
      </c>
      <c r="D19" s="81">
        <v>4.8907384145325015</v>
      </c>
      <c r="E19" s="81">
        <f t="shared" si="0"/>
        <v>-0.15776575530749959</v>
      </c>
    </row>
    <row r="20" spans="2:5">
      <c r="B20" s="79">
        <v>38231</v>
      </c>
      <c r="C20" s="82">
        <v>920</v>
      </c>
      <c r="D20" s="83">
        <v>4.8381498294300016</v>
      </c>
      <c r="E20" s="83">
        <f t="shared" si="0"/>
        <v>-5.2588585102499863E-2</v>
      </c>
    </row>
    <row r="21" spans="2:5">
      <c r="B21" s="78">
        <v>38261</v>
      </c>
      <c r="C21" s="80">
        <v>920</v>
      </c>
      <c r="D21" s="81">
        <v>4.8381498294300016</v>
      </c>
      <c r="E21" s="81">
        <f t="shared" si="0"/>
        <v>0</v>
      </c>
    </row>
    <row r="22" spans="2:5">
      <c r="B22" s="79">
        <v>38292</v>
      </c>
      <c r="C22" s="82">
        <v>930</v>
      </c>
      <c r="D22" s="83">
        <v>4.8907384145325015</v>
      </c>
      <c r="E22" s="83">
        <f t="shared" si="0"/>
        <v>5.2588585102499863E-2</v>
      </c>
    </row>
    <row r="23" spans="2:5">
      <c r="B23" s="78">
        <v>38322</v>
      </c>
      <c r="C23" s="80">
        <v>920</v>
      </c>
      <c r="D23" s="81">
        <v>4.8381498294300016</v>
      </c>
      <c r="E23" s="81">
        <f t="shared" si="0"/>
        <v>-5.2588585102499863E-2</v>
      </c>
    </row>
    <row r="24" spans="2:5">
      <c r="B24" s="79">
        <v>38353</v>
      </c>
      <c r="C24" s="82">
        <v>900</v>
      </c>
      <c r="D24" s="83">
        <v>4.9003153038000002</v>
      </c>
      <c r="E24" s="83">
        <f t="shared" si="0"/>
        <v>6.2165474369998641E-2</v>
      </c>
    </row>
    <row r="25" spans="2:5">
      <c r="B25" s="78">
        <v>38384</v>
      </c>
      <c r="C25" s="80">
        <v>890</v>
      </c>
      <c r="D25" s="81">
        <v>4.8458673559800003</v>
      </c>
      <c r="E25" s="81">
        <f t="shared" si="0"/>
        <v>-5.4447947819999953E-2</v>
      </c>
    </row>
    <row r="26" spans="2:5">
      <c r="B26" s="79">
        <v>38412</v>
      </c>
      <c r="C26" s="82">
        <v>880</v>
      </c>
      <c r="D26" s="83">
        <v>4.7914194081600003</v>
      </c>
      <c r="E26" s="83">
        <f t="shared" si="0"/>
        <v>-5.4447947819999953E-2</v>
      </c>
    </row>
    <row r="27" spans="2:5">
      <c r="B27" s="78">
        <v>38443</v>
      </c>
      <c r="C27" s="80">
        <v>880</v>
      </c>
      <c r="D27" s="81">
        <v>4.7914194081600003</v>
      </c>
      <c r="E27" s="81">
        <f t="shared" si="0"/>
        <v>0</v>
      </c>
    </row>
    <row r="28" spans="2:5">
      <c r="B28" s="79">
        <v>38473</v>
      </c>
      <c r="C28" s="82">
        <v>870</v>
      </c>
      <c r="D28" s="83">
        <v>4.7369714603400004</v>
      </c>
      <c r="E28" s="83">
        <f t="shared" si="0"/>
        <v>-5.4447947819999953E-2</v>
      </c>
    </row>
    <row r="29" spans="2:5">
      <c r="B29" s="78">
        <v>38504</v>
      </c>
      <c r="C29" s="80">
        <v>900</v>
      </c>
      <c r="D29" s="81">
        <v>4.9003153038000002</v>
      </c>
      <c r="E29" s="81">
        <f t="shared" si="0"/>
        <v>0.16334384345999986</v>
      </c>
    </row>
    <row r="30" spans="2:5">
      <c r="B30" s="79">
        <v>38534</v>
      </c>
      <c r="C30" s="82">
        <v>880</v>
      </c>
      <c r="D30" s="83">
        <v>4.7914194081600003</v>
      </c>
      <c r="E30" s="83">
        <f t="shared" si="0"/>
        <v>-0.10889589563999991</v>
      </c>
    </row>
    <row r="31" spans="2:5">
      <c r="B31" s="78">
        <v>38565</v>
      </c>
      <c r="C31" s="80">
        <v>860</v>
      </c>
      <c r="D31" s="81">
        <v>4.6825235125200004</v>
      </c>
      <c r="E31" s="81">
        <f t="shared" si="0"/>
        <v>-0.10889589563999991</v>
      </c>
    </row>
    <row r="32" spans="2:5">
      <c r="B32" s="79">
        <v>38596</v>
      </c>
      <c r="C32" s="82">
        <v>850</v>
      </c>
      <c r="D32" s="83">
        <v>4.6280755647000005</v>
      </c>
      <c r="E32" s="83">
        <f t="shared" si="0"/>
        <v>-5.4447947819999953E-2</v>
      </c>
    </row>
    <row r="33" spans="2:5">
      <c r="B33" s="78">
        <v>38626</v>
      </c>
      <c r="C33" s="80">
        <v>840</v>
      </c>
      <c r="D33" s="81">
        <v>4.5736276168800005</v>
      </c>
      <c r="E33" s="81">
        <f t="shared" si="0"/>
        <v>-5.4447947819999953E-2</v>
      </c>
    </row>
    <row r="34" spans="2:5">
      <c r="B34" s="79">
        <v>38657</v>
      </c>
      <c r="C34" s="82">
        <v>840</v>
      </c>
      <c r="D34" s="83">
        <v>4.5736276168800005</v>
      </c>
      <c r="E34" s="83">
        <f t="shared" si="0"/>
        <v>0</v>
      </c>
    </row>
    <row r="35" spans="2:5">
      <c r="B35" s="78">
        <v>38687</v>
      </c>
      <c r="C35" s="80">
        <v>830</v>
      </c>
      <c r="D35" s="81">
        <v>4.5191796690600006</v>
      </c>
      <c r="E35" s="81">
        <f t="shared" si="0"/>
        <v>-5.4447947819999953E-2</v>
      </c>
    </row>
    <row r="36" spans="2:5">
      <c r="B36" s="79">
        <v>38718</v>
      </c>
      <c r="C36" s="82">
        <v>790</v>
      </c>
      <c r="D36" s="83">
        <v>4.3013878777799999</v>
      </c>
      <c r="E36" s="83">
        <f t="shared" si="0"/>
        <v>-0.2177917912800007</v>
      </c>
    </row>
    <row r="37" spans="2:5">
      <c r="B37" s="78">
        <v>38749</v>
      </c>
      <c r="C37" s="80">
        <v>760</v>
      </c>
      <c r="D37" s="81">
        <v>4.13804403432</v>
      </c>
      <c r="E37" s="81">
        <f t="shared" si="0"/>
        <v>-0.16334384345999986</v>
      </c>
    </row>
    <row r="38" spans="2:5">
      <c r="B38" s="79">
        <v>38777</v>
      </c>
      <c r="C38" s="82">
        <v>770</v>
      </c>
      <c r="D38" s="83">
        <v>4.19249198214</v>
      </c>
      <c r="E38" s="83">
        <f t="shared" si="0"/>
        <v>5.4447947819999953E-2</v>
      </c>
    </row>
    <row r="39" spans="2:5">
      <c r="B39" s="78">
        <v>38808</v>
      </c>
      <c r="C39" s="80">
        <v>770</v>
      </c>
      <c r="D39" s="81">
        <v>4.19249198214</v>
      </c>
      <c r="E39" s="81">
        <f t="shared" si="0"/>
        <v>0</v>
      </c>
    </row>
    <row r="40" spans="2:5">
      <c r="B40" s="79">
        <v>38838</v>
      </c>
      <c r="C40" s="82">
        <v>760</v>
      </c>
      <c r="D40" s="83">
        <v>4.13804403432</v>
      </c>
      <c r="E40" s="83">
        <f t="shared" si="0"/>
        <v>-5.4447947819999953E-2</v>
      </c>
    </row>
    <row r="41" spans="2:5">
      <c r="B41" s="78">
        <v>38869</v>
      </c>
      <c r="C41" s="80">
        <v>760</v>
      </c>
      <c r="D41" s="81">
        <v>4.13804403432</v>
      </c>
      <c r="E41" s="81">
        <f t="shared" si="0"/>
        <v>0</v>
      </c>
    </row>
    <row r="42" spans="2:5">
      <c r="B42" s="79">
        <v>38899</v>
      </c>
      <c r="C42" s="82">
        <v>800</v>
      </c>
      <c r="D42" s="83">
        <v>4.3558358255999998</v>
      </c>
      <c r="E42" s="83">
        <f t="shared" si="0"/>
        <v>0.21779179127999981</v>
      </c>
    </row>
    <row r="43" spans="2:5">
      <c r="B43" s="78">
        <v>38930</v>
      </c>
      <c r="C43" s="80">
        <v>810</v>
      </c>
      <c r="D43" s="81">
        <v>4.4102837734199998</v>
      </c>
      <c r="E43" s="81">
        <f t="shared" si="0"/>
        <v>5.4447947819999953E-2</v>
      </c>
    </row>
    <row r="44" spans="2:5">
      <c r="B44" s="79">
        <v>38961</v>
      </c>
      <c r="C44" s="82">
        <v>840</v>
      </c>
      <c r="D44" s="83">
        <v>4.57</v>
      </c>
      <c r="E44" s="83">
        <f t="shared" si="0"/>
        <v>0.15971622658000051</v>
      </c>
    </row>
    <row r="45" spans="2:5">
      <c r="B45" s="78">
        <v>38991</v>
      </c>
      <c r="C45" s="80">
        <v>830</v>
      </c>
      <c r="D45" s="81">
        <v>4.5194999999999999</v>
      </c>
      <c r="E45" s="81">
        <f t="shared" si="0"/>
        <v>-5.0500000000000433E-2</v>
      </c>
    </row>
    <row r="46" spans="2:5">
      <c r="B46" s="79">
        <v>39022</v>
      </c>
      <c r="C46" s="82">
        <v>830</v>
      </c>
      <c r="D46" s="83">
        <v>4.5191999999999997</v>
      </c>
      <c r="E46" s="83">
        <f t="shared" si="0"/>
        <v>-3.00000000000189E-4</v>
      </c>
    </row>
    <row r="47" spans="2:5">
      <c r="B47" s="78">
        <v>39052</v>
      </c>
      <c r="C47" s="80">
        <v>830</v>
      </c>
      <c r="D47" s="81">
        <v>4.5191999999999997</v>
      </c>
      <c r="E47" s="81">
        <f t="shared" si="0"/>
        <v>0</v>
      </c>
    </row>
    <row r="48" spans="2:5">
      <c r="B48" s="79">
        <v>39083</v>
      </c>
      <c r="C48" s="82">
        <v>750</v>
      </c>
      <c r="D48" s="83">
        <v>4.1029</v>
      </c>
      <c r="E48" s="83">
        <f t="shared" si="0"/>
        <v>-0.41629999999999967</v>
      </c>
    </row>
    <row r="49" spans="2:5">
      <c r="B49" s="78">
        <v>39114</v>
      </c>
      <c r="C49" s="80">
        <v>750</v>
      </c>
      <c r="D49" s="81">
        <v>4.0999999999999996</v>
      </c>
      <c r="E49" s="81">
        <f t="shared" si="0"/>
        <v>-2.9000000000003467E-3</v>
      </c>
    </row>
    <row r="50" spans="2:5">
      <c r="B50" s="79">
        <v>39142</v>
      </c>
      <c r="C50" s="82">
        <v>760</v>
      </c>
      <c r="D50" s="83">
        <v>4.16</v>
      </c>
      <c r="E50" s="83">
        <f t="shared" si="0"/>
        <v>6.0000000000000497E-2</v>
      </c>
    </row>
    <row r="51" spans="2:5">
      <c r="B51" s="78">
        <v>39173</v>
      </c>
      <c r="C51" s="80">
        <v>840</v>
      </c>
      <c r="D51" s="81">
        <v>4.6695061715400001</v>
      </c>
      <c r="E51" s="81">
        <f t="shared" si="0"/>
        <v>0.50950617154</v>
      </c>
    </row>
    <row r="52" spans="2:5">
      <c r="B52" s="79">
        <v>39203</v>
      </c>
      <c r="C52" s="82">
        <v>940</v>
      </c>
      <c r="D52" s="83">
        <v>5.2253997633899996</v>
      </c>
      <c r="E52" s="83">
        <f t="shared" si="0"/>
        <v>0.55589359184999942</v>
      </c>
    </row>
    <row r="53" spans="2:5">
      <c r="B53" s="78">
        <v>39234</v>
      </c>
      <c r="C53" s="80">
        <v>1150</v>
      </c>
      <c r="D53" s="81">
        <v>6.39</v>
      </c>
      <c r="E53" s="81">
        <f t="shared" si="0"/>
        <v>1.1646002366100001</v>
      </c>
    </row>
    <row r="54" spans="2:5">
      <c r="B54" s="79">
        <v>39264</v>
      </c>
      <c r="C54" s="82">
        <v>1300</v>
      </c>
      <c r="D54" s="83">
        <v>7.2266166940499996</v>
      </c>
      <c r="E54" s="83">
        <f t="shared" si="0"/>
        <v>0.83661669404999994</v>
      </c>
    </row>
    <row r="55" spans="2:5">
      <c r="B55" s="78">
        <v>39295</v>
      </c>
      <c r="C55" s="80">
        <v>1400</v>
      </c>
      <c r="D55" s="81">
        <v>7.8185000000000002</v>
      </c>
      <c r="E55" s="81">
        <f t="shared" si="0"/>
        <v>0.5918833059500006</v>
      </c>
    </row>
    <row r="56" spans="2:5">
      <c r="B56" s="79">
        <v>39326</v>
      </c>
      <c r="C56" s="82">
        <v>1480</v>
      </c>
      <c r="D56" s="83">
        <v>8.2614999999999998</v>
      </c>
      <c r="E56" s="83">
        <f t="shared" si="0"/>
        <v>0.44299999999999962</v>
      </c>
    </row>
    <row r="57" spans="2:5">
      <c r="B57" s="78">
        <v>39356</v>
      </c>
      <c r="C57" s="80">
        <v>1480</v>
      </c>
      <c r="D57" s="81">
        <v>8.2588469392800032</v>
      </c>
      <c r="E57" s="81">
        <f t="shared" si="0"/>
        <v>-2.6530607199966028E-3</v>
      </c>
    </row>
    <row r="58" spans="2:5">
      <c r="B58" s="79">
        <v>39387</v>
      </c>
      <c r="C58" s="82">
        <v>935</v>
      </c>
      <c r="D58" s="83">
        <v>5.227691338485001</v>
      </c>
      <c r="E58" s="83">
        <f t="shared" si="0"/>
        <v>-3.0311556007950022</v>
      </c>
    </row>
    <row r="59" spans="2:5">
      <c r="B59" s="78">
        <v>39417</v>
      </c>
      <c r="C59" s="80">
        <v>825</v>
      </c>
      <c r="D59" s="81">
        <v>4.628596845262499</v>
      </c>
      <c r="E59" s="81">
        <f t="shared" si="0"/>
        <v>-0.59909449322250197</v>
      </c>
    </row>
    <row r="60" spans="2:5">
      <c r="B60" s="79">
        <v>39448</v>
      </c>
      <c r="C60" s="82">
        <v>900</v>
      </c>
      <c r="D60" s="83">
        <v>5.0493783766499991</v>
      </c>
      <c r="E60" s="83">
        <f t="shared" si="0"/>
        <v>0.42078153138750007</v>
      </c>
    </row>
    <row r="61" spans="2:5">
      <c r="B61" s="78">
        <v>39479</v>
      </c>
      <c r="C61" s="80">
        <v>910</v>
      </c>
      <c r="D61" s="81">
        <v>5.1033742905600015</v>
      </c>
      <c r="E61" s="81">
        <f t="shared" si="0"/>
        <v>5.3995913910002358E-2</v>
      </c>
    </row>
    <row r="62" spans="2:5">
      <c r="B62" s="79">
        <v>39508</v>
      </c>
      <c r="C62" s="82">
        <v>930</v>
      </c>
      <c r="D62" s="83">
        <v>5.20898542829591</v>
      </c>
      <c r="E62" s="83">
        <f t="shared" si="0"/>
        <v>0.10561113773590858</v>
      </c>
    </row>
    <row r="63" spans="2:5">
      <c r="B63" s="78">
        <v>39539</v>
      </c>
      <c r="C63" s="80">
        <v>940</v>
      </c>
      <c r="D63" s="81">
        <v>5.3136999999999999</v>
      </c>
      <c r="E63" s="81">
        <f t="shared" si="0"/>
        <v>0.10471457170408982</v>
      </c>
    </row>
    <row r="64" spans="2:5">
      <c r="B64" s="79">
        <v>39569</v>
      </c>
      <c r="C64" s="82">
        <v>980</v>
      </c>
      <c r="D64" s="83">
        <v>5.5566554983800023</v>
      </c>
      <c r="E64" s="83">
        <f t="shared" si="0"/>
        <v>0.24295549838000241</v>
      </c>
    </row>
    <row r="65" spans="2:5">
      <c r="B65" s="78">
        <v>39600</v>
      </c>
      <c r="C65" s="80">
        <v>1007</v>
      </c>
      <c r="D65" s="81">
        <v>5.7054266197920018</v>
      </c>
      <c r="E65" s="81">
        <f t="shared" si="0"/>
        <v>0.14877112141199955</v>
      </c>
    </row>
    <row r="66" spans="2:5">
      <c r="B66" s="79">
        <v>39630</v>
      </c>
      <c r="C66" s="82">
        <v>1010</v>
      </c>
      <c r="D66" s="83">
        <v>5.7267571973100022</v>
      </c>
      <c r="E66" s="83">
        <f t="shared" si="0"/>
        <v>2.1330577518000382E-2</v>
      </c>
    </row>
    <row r="67" spans="2:5">
      <c r="B67" s="78">
        <v>39661</v>
      </c>
      <c r="C67" s="80">
        <v>1000</v>
      </c>
      <c r="D67" s="81">
        <v>5.6571855060000082</v>
      </c>
      <c r="E67" s="81">
        <f t="shared" si="0"/>
        <v>-6.9571691309993966E-2</v>
      </c>
    </row>
    <row r="68" spans="2:5">
      <c r="B68" s="79">
        <v>39692</v>
      </c>
      <c r="C68" s="82">
        <v>940</v>
      </c>
      <c r="D68" s="83">
        <v>5.325820280640003</v>
      </c>
      <c r="E68" s="83">
        <f t="shared" si="0"/>
        <v>-0.33136522536000523</v>
      </c>
    </row>
    <row r="69" spans="2:5">
      <c r="B69" s="78">
        <v>39722</v>
      </c>
      <c r="C69" s="80">
        <v>820</v>
      </c>
      <c r="D69" s="81">
        <v>4.6582416991337849</v>
      </c>
      <c r="E69" s="81">
        <f t="shared" si="0"/>
        <v>-0.66757858150621807</v>
      </c>
    </row>
    <row r="70" spans="2:5">
      <c r="B70" s="79">
        <v>39753</v>
      </c>
      <c r="C70" s="82">
        <v>780</v>
      </c>
      <c r="D70" s="83">
        <v>4.4247035521799987</v>
      </c>
      <c r="E70" s="83">
        <f t="shared" si="0"/>
        <v>-0.23353814695378627</v>
      </c>
    </row>
    <row r="71" spans="2:5">
      <c r="B71" s="78">
        <v>39783</v>
      </c>
      <c r="C71" s="80">
        <v>800</v>
      </c>
      <c r="D71" s="81">
        <v>4.5343291548</v>
      </c>
      <c r="E71" s="81">
        <f t="shared" si="0"/>
        <v>0.10962560262000132</v>
      </c>
    </row>
    <row r="72" spans="2:5">
      <c r="B72" s="79">
        <v>39814</v>
      </c>
      <c r="C72" s="82">
        <v>800</v>
      </c>
      <c r="D72" s="83">
        <v>4.5343291548</v>
      </c>
      <c r="E72" s="83">
        <f t="shared" si="0"/>
        <v>0</v>
      </c>
    </row>
    <row r="73" spans="2:5">
      <c r="B73" s="78">
        <v>39845</v>
      </c>
      <c r="C73" s="80">
        <v>750</v>
      </c>
      <c r="D73" s="81">
        <v>4.2509335826249997</v>
      </c>
      <c r="E73" s="81">
        <f t="shared" si="0"/>
        <v>-0.28339557217500033</v>
      </c>
    </row>
    <row r="74" spans="2:5">
      <c r="B74" s="79">
        <v>39873</v>
      </c>
      <c r="C74" s="82">
        <v>780</v>
      </c>
      <c r="D74" s="83">
        <v>4.4243174184300003</v>
      </c>
      <c r="E74" s="83">
        <f t="shared" ref="E74:E137" si="1">D74-D73</f>
        <v>0.17338383580500061</v>
      </c>
    </row>
    <row r="75" spans="2:5">
      <c r="B75" s="78">
        <v>39904</v>
      </c>
      <c r="C75" s="80">
        <v>820</v>
      </c>
      <c r="D75" s="81">
        <v>4.7071222917749997</v>
      </c>
      <c r="E75" s="81">
        <f t="shared" si="1"/>
        <v>0.28280487334499949</v>
      </c>
    </row>
    <row r="76" spans="2:5">
      <c r="B76" s="79">
        <v>39934</v>
      </c>
      <c r="C76" s="82">
        <v>870</v>
      </c>
      <c r="D76" s="83">
        <v>4.986676691212498</v>
      </c>
      <c r="E76" s="83">
        <f t="shared" si="1"/>
        <v>0.27955439943749827</v>
      </c>
    </row>
    <row r="77" spans="2:5">
      <c r="B77" s="78">
        <v>39965</v>
      </c>
      <c r="C77" s="80">
        <v>930</v>
      </c>
      <c r="D77" s="81">
        <v>5.3365705016624991</v>
      </c>
      <c r="E77" s="81">
        <f t="shared" si="1"/>
        <v>0.34989381045000112</v>
      </c>
    </row>
    <row r="78" spans="2:5">
      <c r="B78" s="79">
        <v>39995</v>
      </c>
      <c r="C78" s="82">
        <v>950</v>
      </c>
      <c r="D78" s="83">
        <v>5.4370699618125009</v>
      </c>
      <c r="E78" s="83">
        <f t="shared" si="1"/>
        <v>0.10049946015000177</v>
      </c>
    </row>
    <row r="79" spans="2:5">
      <c r="B79" s="78">
        <v>40026</v>
      </c>
      <c r="C79" s="80">
        <v>950</v>
      </c>
      <c r="D79" s="81">
        <v>5.4146527524374992</v>
      </c>
      <c r="E79" s="81">
        <f t="shared" si="1"/>
        <v>-2.241720937500169E-2</v>
      </c>
    </row>
    <row r="80" spans="2:5">
      <c r="B80" s="79">
        <v>40057</v>
      </c>
      <c r="C80" s="82">
        <v>1350</v>
      </c>
      <c r="D80" s="83">
        <v>7.6474464921562495</v>
      </c>
      <c r="E80" s="83">
        <f t="shared" si="1"/>
        <v>2.2327937397187503</v>
      </c>
    </row>
    <row r="81" spans="2:5">
      <c r="B81" s="78">
        <v>40087</v>
      </c>
      <c r="C81" s="80">
        <v>1700</v>
      </c>
      <c r="D81" s="81">
        <v>9.6</v>
      </c>
      <c r="E81" s="81">
        <f t="shared" si="1"/>
        <v>1.9525535078437501</v>
      </c>
    </row>
    <row r="82" spans="2:5">
      <c r="B82" s="79">
        <v>40118</v>
      </c>
      <c r="C82" s="82">
        <v>1500</v>
      </c>
      <c r="D82" s="83">
        <v>8.4277552274999987</v>
      </c>
      <c r="E82" s="83">
        <f t="shared" si="1"/>
        <v>-1.1722447725000009</v>
      </c>
    </row>
    <row r="83" spans="2:5">
      <c r="B83" s="78">
        <v>40148</v>
      </c>
      <c r="C83" s="80">
        <v>1150</v>
      </c>
      <c r="D83" s="81">
        <v>6.4292084546249972</v>
      </c>
      <c r="E83" s="81">
        <f t="shared" si="1"/>
        <v>-1.9985467728750015</v>
      </c>
    </row>
    <row r="84" spans="2:5">
      <c r="B84" s="79">
        <v>40179</v>
      </c>
      <c r="C84" s="82">
        <v>1130</v>
      </c>
      <c r="D84" s="83">
        <v>6.2980036386749987</v>
      </c>
      <c r="E84" s="83">
        <f t="shared" si="1"/>
        <v>-0.13120481594999855</v>
      </c>
    </row>
    <row r="85" spans="2:5">
      <c r="B85" s="78">
        <v>40210</v>
      </c>
      <c r="C85" s="80">
        <v>1080</v>
      </c>
      <c r="D85" s="81">
        <v>6.0193309112999982</v>
      </c>
      <c r="E85" s="81">
        <f t="shared" si="1"/>
        <v>-0.27867272737500048</v>
      </c>
    </row>
    <row r="86" spans="2:5">
      <c r="B86" s="79">
        <v>40238</v>
      </c>
      <c r="C86" s="82">
        <v>1225</v>
      </c>
      <c r="D86" s="83">
        <v>6.82</v>
      </c>
      <c r="E86" s="83">
        <f t="shared" si="1"/>
        <v>0.80066908870000209</v>
      </c>
    </row>
    <row r="87" spans="2:5">
      <c r="B87" s="78">
        <v>40269</v>
      </c>
      <c r="C87" s="80">
        <v>1300</v>
      </c>
      <c r="D87" s="81">
        <v>7.2546379912499992</v>
      </c>
      <c r="E87" s="81">
        <f t="shared" si="1"/>
        <v>0.43463799124999891</v>
      </c>
    </row>
    <row r="88" spans="2:5">
      <c r="B88" s="79">
        <v>40299</v>
      </c>
      <c r="C88" s="82">
        <v>1450</v>
      </c>
      <c r="D88" s="83">
        <v>8.0917116056249991</v>
      </c>
      <c r="E88" s="83">
        <f t="shared" si="1"/>
        <v>0.83707361437499994</v>
      </c>
    </row>
    <row r="89" spans="2:5">
      <c r="B89" s="78">
        <v>40330</v>
      </c>
      <c r="C89" s="80">
        <v>1550</v>
      </c>
      <c r="D89" s="81">
        <v>8.6165102756249983</v>
      </c>
      <c r="E89" s="81">
        <f t="shared" si="1"/>
        <v>0.52479866999999913</v>
      </c>
    </row>
    <row r="90" spans="2:5">
      <c r="B90" s="79">
        <v>40360</v>
      </c>
      <c r="C90" s="82">
        <v>1430</v>
      </c>
      <c r="D90" s="83">
        <v>7.9494256091249982</v>
      </c>
      <c r="E90" s="83">
        <f t="shared" si="1"/>
        <v>-0.66708466650000009</v>
      </c>
    </row>
    <row r="91" spans="2:5">
      <c r="B91" s="78">
        <v>40391</v>
      </c>
      <c r="C91" s="80">
        <v>1420</v>
      </c>
      <c r="D91" s="81">
        <v>7.8390042277499994</v>
      </c>
      <c r="E91" s="81">
        <f t="shared" si="1"/>
        <v>-0.11042138137499879</v>
      </c>
    </row>
    <row r="92" spans="2:5">
      <c r="B92" s="79">
        <v>40422</v>
      </c>
      <c r="C92" s="82">
        <v>1470</v>
      </c>
      <c r="D92" s="83">
        <v>8.1150255033749996</v>
      </c>
      <c r="E92" s="83">
        <f t="shared" si="1"/>
        <v>0.27602127562500023</v>
      </c>
    </row>
    <row r="93" spans="2:5">
      <c r="B93" s="78">
        <v>40452</v>
      </c>
      <c r="C93" s="80">
        <v>1500</v>
      </c>
      <c r="D93" s="81">
        <v>8.2806382687499998</v>
      </c>
      <c r="E93" s="81">
        <f t="shared" si="1"/>
        <v>0.16561276537500014</v>
      </c>
    </row>
    <row r="94" spans="2:5">
      <c r="B94" s="79">
        <v>40483</v>
      </c>
      <c r="C94" s="82">
        <v>1480</v>
      </c>
      <c r="D94" s="83">
        <v>8.17</v>
      </c>
      <c r="E94" s="83">
        <f t="shared" si="1"/>
        <v>-0.11063826874999982</v>
      </c>
    </row>
    <row r="95" spans="2:5">
      <c r="B95" s="78">
        <v>40513</v>
      </c>
      <c r="C95" s="80">
        <v>1450</v>
      </c>
      <c r="D95" s="81">
        <v>7.97</v>
      </c>
      <c r="E95" s="81">
        <f t="shared" si="1"/>
        <v>-0.20000000000000018</v>
      </c>
    </row>
    <row r="96" spans="2:5">
      <c r="B96" s="79">
        <v>40544</v>
      </c>
      <c r="C96" s="82">
        <v>1470</v>
      </c>
      <c r="D96" s="83">
        <v>8.1150000000000002</v>
      </c>
      <c r="E96" s="83">
        <f t="shared" si="1"/>
        <v>0.14500000000000046</v>
      </c>
    </row>
    <row r="97" spans="2:5">
      <c r="B97" s="78">
        <v>40575</v>
      </c>
      <c r="C97" s="80">
        <v>1650</v>
      </c>
      <c r="D97" s="81">
        <v>9.1087000000000007</v>
      </c>
      <c r="E97" s="81">
        <f t="shared" si="1"/>
        <v>0.99370000000000047</v>
      </c>
    </row>
    <row r="98" spans="2:5">
      <c r="B98" s="79">
        <v>40603</v>
      </c>
      <c r="C98" s="82">
        <v>1550</v>
      </c>
      <c r="D98" s="83">
        <v>8.5167590568749993</v>
      </c>
      <c r="E98" s="83">
        <f t="shared" si="1"/>
        <v>-0.59194094312500134</v>
      </c>
    </row>
    <row r="99" spans="2:5">
      <c r="B99" s="78">
        <v>40634</v>
      </c>
      <c r="C99" s="80">
        <v>1500</v>
      </c>
      <c r="D99" s="81">
        <v>8.3198308443750015</v>
      </c>
      <c r="E99" s="81">
        <f t="shared" si="1"/>
        <v>-0.19692821249999781</v>
      </c>
    </row>
    <row r="100" spans="2:5">
      <c r="B100" s="79">
        <v>40664</v>
      </c>
      <c r="C100" s="82">
        <v>1700</v>
      </c>
      <c r="D100" s="83">
        <v>9.43</v>
      </c>
      <c r="E100" s="83">
        <f t="shared" si="1"/>
        <v>1.1101691556249982</v>
      </c>
    </row>
    <row r="101" spans="2:5">
      <c r="B101" s="78">
        <v>40695</v>
      </c>
      <c r="C101" s="80">
        <v>1800</v>
      </c>
      <c r="D101" s="81">
        <v>10.03013306325</v>
      </c>
      <c r="E101" s="81">
        <f t="shared" si="1"/>
        <v>0.60013306325000038</v>
      </c>
    </row>
    <row r="102" spans="2:5">
      <c r="B102" s="79">
        <v>40725</v>
      </c>
      <c r="C102" s="82">
        <v>1600</v>
      </c>
      <c r="D102" s="83">
        <v>8.9980490340000046</v>
      </c>
      <c r="E102" s="83">
        <f t="shared" si="1"/>
        <v>-1.0320840292499955</v>
      </c>
    </row>
    <row r="103" spans="2:5">
      <c r="B103" s="78">
        <v>40756</v>
      </c>
      <c r="C103" s="80">
        <v>1580</v>
      </c>
      <c r="D103" s="81">
        <v>8.9262461760750007</v>
      </c>
      <c r="E103" s="81">
        <f t="shared" si="1"/>
        <v>-7.1802857925003849E-2</v>
      </c>
    </row>
    <row r="104" spans="2:5">
      <c r="B104" s="79">
        <v>40787</v>
      </c>
      <c r="C104" s="82">
        <v>1620</v>
      </c>
      <c r="D104" s="83">
        <v>9.1939295369249994</v>
      </c>
      <c r="E104" s="83">
        <f t="shared" si="1"/>
        <v>0.26768336084999866</v>
      </c>
    </row>
    <row r="105" spans="2:5">
      <c r="B105" s="78">
        <v>40817</v>
      </c>
      <c r="C105" s="80">
        <v>1580</v>
      </c>
      <c r="D105" s="81">
        <v>9.0075916860750009</v>
      </c>
      <c r="E105" s="81">
        <f t="shared" si="1"/>
        <v>-0.18633785084999843</v>
      </c>
    </row>
    <row r="106" spans="2:5">
      <c r="B106" s="79">
        <v>40848</v>
      </c>
      <c r="C106" s="82">
        <v>1450</v>
      </c>
      <c r="D106" s="83">
        <v>8.3037869870625016</v>
      </c>
      <c r="E106" s="83">
        <f t="shared" si="1"/>
        <v>-0.70380469901249931</v>
      </c>
    </row>
    <row r="107" spans="2:5">
      <c r="B107" s="78">
        <v>40878</v>
      </c>
      <c r="C107" s="80">
        <v>1450</v>
      </c>
      <c r="D107" s="81">
        <v>8.3411000000000008</v>
      </c>
      <c r="E107" s="81">
        <f t="shared" si="1"/>
        <v>3.7313012937499224E-2</v>
      </c>
    </row>
    <row r="108" spans="2:5">
      <c r="B108" s="79">
        <v>40909</v>
      </c>
      <c r="C108" s="82">
        <v>1230</v>
      </c>
      <c r="D108" s="83">
        <v>7.0755650323874999</v>
      </c>
      <c r="E108" s="83">
        <f t="shared" si="1"/>
        <v>-1.2655349676125009</v>
      </c>
    </row>
    <row r="109" spans="2:5">
      <c r="B109" s="78">
        <v>40940</v>
      </c>
      <c r="C109" s="80">
        <v>1180</v>
      </c>
      <c r="D109" s="81">
        <v>6.818316292575</v>
      </c>
      <c r="E109" s="81">
        <f t="shared" si="1"/>
        <v>-0.25724873981249985</v>
      </c>
    </row>
    <row r="110" spans="2:5">
      <c r="B110" s="79">
        <v>40969</v>
      </c>
      <c r="C110" s="82">
        <v>1080</v>
      </c>
      <c r="D110" s="83">
        <v>6.2729281129500034</v>
      </c>
      <c r="E110" s="83">
        <f t="shared" si="1"/>
        <v>-0.54538817962499664</v>
      </c>
    </row>
    <row r="111" spans="2:5">
      <c r="B111" s="78">
        <v>41000</v>
      </c>
      <c r="C111" s="80">
        <v>840</v>
      </c>
      <c r="D111" s="81">
        <v>4.88</v>
      </c>
      <c r="E111" s="81">
        <f t="shared" si="1"/>
        <v>-1.3929281129500035</v>
      </c>
    </row>
    <row r="112" spans="2:5">
      <c r="B112" s="79">
        <v>41030</v>
      </c>
      <c r="C112" s="82">
        <v>940</v>
      </c>
      <c r="D112" s="83">
        <v>5.4859999999999998</v>
      </c>
      <c r="E112" s="83">
        <f t="shared" si="1"/>
        <v>0.60599999999999987</v>
      </c>
    </row>
    <row r="113" spans="2:5">
      <c r="B113" s="78">
        <v>41061</v>
      </c>
      <c r="C113" s="80">
        <v>1020</v>
      </c>
      <c r="D113" s="81">
        <v>5.9528999999999996</v>
      </c>
      <c r="E113" s="81">
        <f t="shared" si="1"/>
        <v>0.46689999999999987</v>
      </c>
    </row>
    <row r="114" spans="2:5">
      <c r="B114" s="79">
        <v>41091</v>
      </c>
      <c r="C114" s="82">
        <v>1000</v>
      </c>
      <c r="D114" s="83">
        <v>5.8340090212499991</v>
      </c>
      <c r="E114" s="83">
        <f t="shared" si="1"/>
        <v>-0.11889097875000054</v>
      </c>
    </row>
    <row r="115" spans="2:5">
      <c r="B115" s="78">
        <v>41122</v>
      </c>
      <c r="C115" s="80">
        <v>1100</v>
      </c>
      <c r="D115" s="81">
        <v>6.4221000000000004</v>
      </c>
      <c r="E115" s="81">
        <f t="shared" si="1"/>
        <v>0.58809097875000127</v>
      </c>
    </row>
    <row r="116" spans="2:5">
      <c r="B116" s="79">
        <v>41153</v>
      </c>
      <c r="C116" s="82">
        <v>1250</v>
      </c>
      <c r="D116" s="83">
        <v>7.2951927609375007</v>
      </c>
      <c r="E116" s="83">
        <f t="shared" si="1"/>
        <v>0.87309276093750032</v>
      </c>
    </row>
    <row r="117" spans="2:5">
      <c r="B117" s="78">
        <v>41183</v>
      </c>
      <c r="C117" s="80">
        <v>1350</v>
      </c>
      <c r="D117" s="81">
        <v>7.8846001880624987</v>
      </c>
      <c r="E117" s="81">
        <f t="shared" si="1"/>
        <v>0.58940742712499805</v>
      </c>
    </row>
    <row r="118" spans="2:5">
      <c r="B118" s="79">
        <v>41214</v>
      </c>
      <c r="C118" s="82">
        <v>1480</v>
      </c>
      <c r="D118" s="83">
        <v>8.6660821264500019</v>
      </c>
      <c r="E118" s="83">
        <f t="shared" si="1"/>
        <v>0.78148193838750313</v>
      </c>
    </row>
    <row r="119" spans="2:5">
      <c r="B119" s="78">
        <v>41244</v>
      </c>
      <c r="C119" s="80">
        <v>1410</v>
      </c>
      <c r="D119" s="81">
        <v>8.2592245780875011</v>
      </c>
      <c r="E119" s="81">
        <f t="shared" si="1"/>
        <v>-0.40685754836250076</v>
      </c>
    </row>
    <row r="120" spans="2:5">
      <c r="B120" s="79">
        <v>41275</v>
      </c>
      <c r="C120" s="82">
        <v>1250</v>
      </c>
      <c r="D120" s="83">
        <v>7.3166446359375001</v>
      </c>
      <c r="E120" s="83">
        <f t="shared" si="1"/>
        <v>-0.94257994215000096</v>
      </c>
    </row>
    <row r="121" spans="2:5">
      <c r="B121" s="78">
        <v>41306</v>
      </c>
      <c r="C121" s="80">
        <v>1300</v>
      </c>
      <c r="D121" s="81">
        <v>7.600944190125003</v>
      </c>
      <c r="E121" s="81">
        <f t="shared" si="1"/>
        <v>0.28429955418750286</v>
      </c>
    </row>
    <row r="122" spans="2:5">
      <c r="B122" s="79">
        <v>41334</v>
      </c>
      <c r="C122" s="82">
        <v>1350</v>
      </c>
      <c r="D122" s="83">
        <v>7.8932881974375038</v>
      </c>
      <c r="E122" s="83">
        <f t="shared" si="1"/>
        <v>0.29234400731250076</v>
      </c>
    </row>
    <row r="123" spans="2:5">
      <c r="B123" s="78">
        <v>41365</v>
      </c>
      <c r="C123" s="80">
        <v>1600</v>
      </c>
      <c r="D123" s="81">
        <v>9.2162472096000023</v>
      </c>
      <c r="E123" s="81">
        <f t="shared" si="1"/>
        <v>1.3229590121624986</v>
      </c>
    </row>
    <row r="124" spans="2:5">
      <c r="B124" s="79">
        <v>41395</v>
      </c>
      <c r="C124" s="82">
        <v>1610</v>
      </c>
      <c r="D124" s="83">
        <v>9.2876637621600047</v>
      </c>
      <c r="E124" s="83">
        <f t="shared" si="1"/>
        <v>7.1416552560002344E-2</v>
      </c>
    </row>
    <row r="125" spans="2:5">
      <c r="B125" s="78">
        <v>41426</v>
      </c>
      <c r="C125" s="80">
        <v>1690</v>
      </c>
      <c r="D125" s="81">
        <v>9.7274103813900012</v>
      </c>
      <c r="E125" s="81">
        <f t="shared" si="1"/>
        <v>0.43974661922999658</v>
      </c>
    </row>
    <row r="126" spans="2:5">
      <c r="B126" s="79">
        <v>41456</v>
      </c>
      <c r="C126" s="82">
        <v>1690</v>
      </c>
      <c r="D126" s="83">
        <v>9.7020328132649993</v>
      </c>
      <c r="E126" s="83">
        <f t="shared" si="1"/>
        <v>-2.5377568125001915E-2</v>
      </c>
    </row>
    <row r="127" spans="2:5">
      <c r="B127" s="78">
        <v>41487</v>
      </c>
      <c r="C127" s="80">
        <v>1720</v>
      </c>
      <c r="D127" s="81">
        <v>9.8262918553200027</v>
      </c>
      <c r="E127" s="81">
        <f t="shared" si="1"/>
        <v>0.12425904205500338</v>
      </c>
    </row>
    <row r="128" spans="2:5">
      <c r="B128" s="79">
        <v>41518</v>
      </c>
      <c r="C128" s="82">
        <v>1740</v>
      </c>
      <c r="D128" s="83">
        <v>9.910690052940005</v>
      </c>
      <c r="E128" s="83">
        <f t="shared" si="1"/>
        <v>8.4398197620002335E-2</v>
      </c>
    </row>
    <row r="129" spans="2:5">
      <c r="B129" s="78">
        <v>41548</v>
      </c>
      <c r="C129" s="80">
        <v>1700</v>
      </c>
      <c r="D129" s="81">
        <v>9.6573303664500045</v>
      </c>
      <c r="E129" s="81">
        <f t="shared" si="1"/>
        <v>-0.25335968649000051</v>
      </c>
    </row>
    <row r="130" spans="2:5">
      <c r="B130" s="79">
        <v>41579</v>
      </c>
      <c r="C130" s="82">
        <v>1750</v>
      </c>
      <c r="D130" s="83">
        <v>9.9000746354999976</v>
      </c>
      <c r="E130" s="83">
        <f t="shared" si="1"/>
        <v>0.24274426904999302</v>
      </c>
    </row>
    <row r="131" spans="2:5">
      <c r="B131" s="78">
        <v>41609</v>
      </c>
      <c r="C131" s="80">
        <v>1650</v>
      </c>
      <c r="D131" s="81">
        <v>9.323737406774999</v>
      </c>
      <c r="E131" s="81">
        <f t="shared" si="1"/>
        <v>-0.5763372287249986</v>
      </c>
    </row>
    <row r="132" spans="2:5">
      <c r="B132" s="79">
        <v>41640</v>
      </c>
      <c r="C132" s="82">
        <v>1500</v>
      </c>
      <c r="D132" s="83">
        <v>8.4536004464999976</v>
      </c>
      <c r="E132" s="83">
        <f t="shared" si="1"/>
        <v>-0.87013696027500131</v>
      </c>
    </row>
    <row r="133" spans="2:5">
      <c r="B133" s="78">
        <v>41671</v>
      </c>
      <c r="C133" s="80">
        <v>1330</v>
      </c>
      <c r="D133" s="81">
        <v>7.4841133317300006</v>
      </c>
      <c r="E133" s="81">
        <f t="shared" si="1"/>
        <v>-0.96948711476999705</v>
      </c>
    </row>
    <row r="134" spans="2:5">
      <c r="B134" s="79">
        <v>41699</v>
      </c>
      <c r="C134" s="82">
        <v>1380</v>
      </c>
      <c r="D134" s="83">
        <v>7.74770882328</v>
      </c>
      <c r="E134" s="83">
        <f t="shared" si="1"/>
        <v>0.26359549154999939</v>
      </c>
    </row>
    <row r="135" spans="2:5">
      <c r="B135" s="78">
        <v>41730</v>
      </c>
      <c r="C135" s="80">
        <v>1340</v>
      </c>
      <c r="D135" s="81">
        <v>7.6754197800600013</v>
      </c>
      <c r="E135" s="81">
        <f t="shared" si="1"/>
        <v>-7.2289043219998739E-2</v>
      </c>
    </row>
    <row r="136" spans="2:5">
      <c r="B136" s="79">
        <v>41760</v>
      </c>
      <c r="C136" s="82">
        <v>1290</v>
      </c>
      <c r="D136" s="83">
        <v>7.3641178927350008</v>
      </c>
      <c r="E136" s="83">
        <f t="shared" si="1"/>
        <v>-0.31130188732500041</v>
      </c>
    </row>
    <row r="137" spans="2:5">
      <c r="B137" s="78">
        <v>41791</v>
      </c>
      <c r="C137" s="80">
        <v>1400</v>
      </c>
      <c r="D137" s="81">
        <v>7.9830561425999997</v>
      </c>
      <c r="E137" s="81">
        <f t="shared" si="1"/>
        <v>0.6189382498649989</v>
      </c>
    </row>
    <row r="138" spans="2:5">
      <c r="B138" s="79">
        <v>41821</v>
      </c>
      <c r="C138" s="82">
        <v>1380</v>
      </c>
      <c r="D138" s="83">
        <v>7.8690124834199988</v>
      </c>
      <c r="E138" s="83">
        <f t="shared" ref="E138:E199" si="2">D138-D137</f>
        <v>-0.11404365918000092</v>
      </c>
    </row>
    <row r="139" spans="2:5">
      <c r="B139" s="78">
        <v>41852</v>
      </c>
      <c r="C139" s="80">
        <v>1200</v>
      </c>
      <c r="D139" s="81">
        <v>6.8477680007999986</v>
      </c>
      <c r="E139" s="81">
        <f t="shared" si="2"/>
        <v>-1.0212444826200002</v>
      </c>
    </row>
    <row r="140" spans="2:5">
      <c r="B140" s="79">
        <v>41883</v>
      </c>
      <c r="C140" s="82">
        <v>1120</v>
      </c>
      <c r="D140" s="83">
        <v>6.3912501340799999</v>
      </c>
      <c r="E140" s="83">
        <f t="shared" si="2"/>
        <v>-0.45651786671999872</v>
      </c>
    </row>
    <row r="141" spans="2:5">
      <c r="B141" s="78">
        <v>41913</v>
      </c>
      <c r="C141" s="80">
        <v>1150</v>
      </c>
      <c r="D141" s="81">
        <v>6.5451755747249996</v>
      </c>
      <c r="E141" s="81">
        <f t="shared" si="2"/>
        <v>0.15392544064499969</v>
      </c>
    </row>
    <row r="142" spans="2:5">
      <c r="B142" s="79">
        <v>41944</v>
      </c>
      <c r="C142" s="82">
        <v>1170</v>
      </c>
      <c r="D142" s="83">
        <v>6.6740639314050014</v>
      </c>
      <c r="E142" s="83">
        <f t="shared" si="2"/>
        <v>0.12888835668000187</v>
      </c>
    </row>
    <row r="143" spans="2:5">
      <c r="B143" s="78">
        <v>41974</v>
      </c>
      <c r="C143" s="80">
        <v>1050</v>
      </c>
      <c r="D143" s="81">
        <v>5.9760298725750012</v>
      </c>
      <c r="E143" s="81">
        <f t="shared" si="2"/>
        <v>-0.69803405883000025</v>
      </c>
    </row>
    <row r="144" spans="2:5">
      <c r="B144" s="79">
        <v>42005</v>
      </c>
      <c r="C144" s="82">
        <v>980</v>
      </c>
      <c r="D144" s="83">
        <v>5.5754999999999999</v>
      </c>
      <c r="E144" s="83">
        <f t="shared" si="2"/>
        <v>-0.40052987257500128</v>
      </c>
    </row>
    <row r="145" spans="2:5">
      <c r="B145" s="78">
        <v>42036</v>
      </c>
      <c r="C145" s="80">
        <v>1170</v>
      </c>
      <c r="D145" s="81">
        <v>6.6564948457799993</v>
      </c>
      <c r="E145" s="81">
        <f t="shared" si="2"/>
        <v>1.0809948457799994</v>
      </c>
    </row>
    <row r="146" spans="2:5">
      <c r="B146" s="79">
        <v>42064</v>
      </c>
      <c r="C146" s="82">
        <v>1070</v>
      </c>
      <c r="D146" s="83">
        <v>6.0806776105049982</v>
      </c>
      <c r="E146" s="83">
        <f t="shared" si="2"/>
        <v>-0.57581723527500106</v>
      </c>
    </row>
    <row r="147" spans="2:5">
      <c r="B147" s="78">
        <v>42095</v>
      </c>
      <c r="C147" s="80">
        <v>970</v>
      </c>
      <c r="D147" s="81">
        <v>5.2684166076749994</v>
      </c>
      <c r="E147" s="81">
        <f t="shared" si="2"/>
        <v>-0.8122610028299988</v>
      </c>
    </row>
    <row r="148" spans="2:5">
      <c r="B148" s="79">
        <v>42125</v>
      </c>
      <c r="C148" s="82">
        <v>920</v>
      </c>
      <c r="D148" s="83">
        <v>4.9968487412999991</v>
      </c>
      <c r="E148" s="83">
        <f t="shared" si="2"/>
        <v>-0.2715678663750003</v>
      </c>
    </row>
    <row r="149" spans="2:5">
      <c r="B149" s="78">
        <v>42156</v>
      </c>
      <c r="C149" s="80">
        <v>1000</v>
      </c>
      <c r="D149" s="81">
        <v>5.4409707697744469</v>
      </c>
      <c r="E149" s="81">
        <f t="shared" si="2"/>
        <v>0.44412202847444782</v>
      </c>
    </row>
    <row r="150" spans="2:5">
      <c r="B150" s="79">
        <v>42186</v>
      </c>
      <c r="C150" s="82">
        <v>900</v>
      </c>
      <c r="D150" s="83">
        <v>4.9068325998271112</v>
      </c>
      <c r="E150" s="83">
        <f t="shared" si="2"/>
        <v>-0.53413816994733576</v>
      </c>
    </row>
    <row r="151" spans="2:5">
      <c r="B151" s="78">
        <v>42217</v>
      </c>
      <c r="C151" s="80">
        <v>880</v>
      </c>
      <c r="D151" s="81">
        <v>4.7959041103865054</v>
      </c>
      <c r="E151" s="81">
        <f t="shared" si="2"/>
        <v>-0.11092848944060574</v>
      </c>
    </row>
    <row r="152" spans="2:5">
      <c r="B152" s="79">
        <v>42248</v>
      </c>
      <c r="C152" s="82">
        <v>960</v>
      </c>
      <c r="D152" s="83">
        <v>5.2474913520033226</v>
      </c>
      <c r="E152" s="83">
        <f t="shared" si="2"/>
        <v>0.45158724161681718</v>
      </c>
    </row>
    <row r="153" spans="2:5">
      <c r="B153" s="78">
        <v>42278</v>
      </c>
      <c r="C153" s="80">
        <v>1000</v>
      </c>
      <c r="D153" s="81">
        <v>5.4743613716234663</v>
      </c>
      <c r="E153" s="81">
        <f t="shared" si="2"/>
        <v>0.22687001962014364</v>
      </c>
    </row>
    <row r="154" spans="2:5">
      <c r="B154" s="79">
        <v>42309</v>
      </c>
      <c r="C154" s="82">
        <v>970</v>
      </c>
      <c r="D154" s="83">
        <v>5.3139026976686887</v>
      </c>
      <c r="E154" s="83">
        <f t="shared" si="2"/>
        <v>-0.16045867395477753</v>
      </c>
    </row>
    <row r="155" spans="2:5">
      <c r="B155" s="78">
        <v>42339</v>
      </c>
      <c r="C155" s="80">
        <v>930</v>
      </c>
      <c r="D155" s="81">
        <v>5.1028793470827116</v>
      </c>
      <c r="E155" s="81">
        <f t="shared" si="2"/>
        <v>-0.2110233505859771</v>
      </c>
    </row>
    <row r="156" spans="2:5">
      <c r="B156" s="79">
        <v>42370</v>
      </c>
      <c r="C156" s="82">
        <v>900</v>
      </c>
      <c r="D156" s="83">
        <v>4.9451044714874621</v>
      </c>
      <c r="E156" s="83">
        <f t="shared" si="2"/>
        <v>-0.1577748755952495</v>
      </c>
    </row>
    <row r="157" spans="2:5">
      <c r="B157" s="78">
        <v>42401</v>
      </c>
      <c r="C157" s="80">
        <v>860</v>
      </c>
      <c r="D157" s="81">
        <v>4.7408022196424842</v>
      </c>
      <c r="E157" s="81">
        <f t="shared" si="2"/>
        <v>-0.20430225184497797</v>
      </c>
    </row>
    <row r="158" spans="2:5">
      <c r="B158" s="79">
        <v>42430</v>
      </c>
      <c r="C158" s="82">
        <v>820</v>
      </c>
      <c r="D158" s="83">
        <v>4.5354133746826699</v>
      </c>
      <c r="E158" s="83">
        <f t="shared" si="2"/>
        <v>-0.20538884495981424</v>
      </c>
    </row>
    <row r="159" spans="2:5">
      <c r="B159" s="78">
        <v>42461</v>
      </c>
      <c r="C159" s="80">
        <v>800</v>
      </c>
      <c r="D159" s="81">
        <v>4.5017189396947908</v>
      </c>
      <c r="E159" s="81">
        <f t="shared" si="2"/>
        <v>-3.3694434987879163E-2</v>
      </c>
    </row>
    <row r="160" spans="2:5">
      <c r="B160" s="79">
        <v>42491</v>
      </c>
      <c r="C160" s="82">
        <v>860</v>
      </c>
      <c r="D160" s="83">
        <v>4.8642812638499882</v>
      </c>
      <c r="E160" s="83">
        <f t="shared" si="2"/>
        <v>0.3625623241551974</v>
      </c>
    </row>
    <row r="161" spans="2:5">
      <c r="B161" s="78">
        <v>42522</v>
      </c>
      <c r="C161" s="80">
        <v>1100</v>
      </c>
      <c r="D161" s="81">
        <v>6.2403261885664714</v>
      </c>
      <c r="E161" s="81">
        <f t="shared" si="2"/>
        <v>1.3760449247164832</v>
      </c>
    </row>
    <row r="162" spans="2:5">
      <c r="B162" s="79">
        <v>42552</v>
      </c>
      <c r="C162" s="82">
        <v>1370</v>
      </c>
      <c r="D162" s="83">
        <v>7.7839283558054664</v>
      </c>
      <c r="E162" s="83">
        <f t="shared" si="2"/>
        <v>1.543602167238995</v>
      </c>
    </row>
    <row r="163" spans="2:5">
      <c r="B163" s="78">
        <v>42583</v>
      </c>
      <c r="C163" s="80">
        <v>1470</v>
      </c>
      <c r="D163" s="81">
        <v>8.3871569470620209</v>
      </c>
      <c r="E163" s="81">
        <f t="shared" si="2"/>
        <v>0.60322859125655448</v>
      </c>
    </row>
    <row r="164" spans="2:5">
      <c r="B164" s="79">
        <v>42614</v>
      </c>
      <c r="C164" s="82">
        <v>1710</v>
      </c>
      <c r="D164" s="83">
        <v>9.7528866043205547</v>
      </c>
      <c r="E164" s="83">
        <f t="shared" si="2"/>
        <v>1.3657296572585338</v>
      </c>
    </row>
    <row r="165" spans="2:5">
      <c r="B165" s="78">
        <v>42644</v>
      </c>
      <c r="C165" s="80">
        <v>1930</v>
      </c>
      <c r="D165" s="81">
        <v>10.991492196251752</v>
      </c>
      <c r="E165" s="81">
        <f t="shared" si="2"/>
        <v>1.2386055919311971</v>
      </c>
    </row>
    <row r="166" spans="2:5">
      <c r="B166" s="79">
        <v>42675</v>
      </c>
      <c r="C166" s="82">
        <v>1990</v>
      </c>
      <c r="D166" s="83">
        <v>11.357135464951599</v>
      </c>
      <c r="E166" s="83">
        <f t="shared" si="2"/>
        <v>0.36564326869984676</v>
      </c>
    </row>
    <row r="167" spans="2:5">
      <c r="B167" s="78">
        <v>42705</v>
      </c>
      <c r="C167" s="80">
        <v>1800</v>
      </c>
      <c r="D167" s="81">
        <v>10.311285862388827</v>
      </c>
      <c r="E167" s="81">
        <f t="shared" si="2"/>
        <v>-1.0458496025627717</v>
      </c>
    </row>
    <row r="168" spans="2:5">
      <c r="B168" s="79">
        <v>42736</v>
      </c>
      <c r="C168" s="82">
        <v>1620</v>
      </c>
      <c r="D168" s="83">
        <v>9.2989515190987611</v>
      </c>
      <c r="E168" s="83">
        <f t="shared" si="2"/>
        <v>-1.0123343432900658</v>
      </c>
    </row>
    <row r="169" spans="2:5">
      <c r="B169" s="78">
        <v>42767</v>
      </c>
      <c r="C169" s="80">
        <v>1540</v>
      </c>
      <c r="D169" s="81">
        <v>8.8285457312769609</v>
      </c>
      <c r="E169" s="81">
        <f t="shared" si="2"/>
        <v>-0.4704057878218002</v>
      </c>
    </row>
    <row r="170" spans="2:5">
      <c r="B170" s="79">
        <v>42795</v>
      </c>
      <c r="C170" s="82">
        <v>1690</v>
      </c>
      <c r="D170" s="83">
        <v>9.6735105000308472</v>
      </c>
      <c r="E170" s="83">
        <f t="shared" si="2"/>
        <v>0.84496476875388637</v>
      </c>
    </row>
    <row r="171" spans="2:5">
      <c r="B171" s="78">
        <v>42826</v>
      </c>
      <c r="C171" s="80">
        <v>1730</v>
      </c>
      <c r="D171" s="81">
        <v>9.802004879658794</v>
      </c>
      <c r="E171" s="81">
        <f t="shared" si="2"/>
        <v>0.12849437962794674</v>
      </c>
    </row>
    <row r="172" spans="2:5">
      <c r="B172" s="79">
        <v>42856</v>
      </c>
      <c r="C172" s="82">
        <v>1960</v>
      </c>
      <c r="D172" s="83">
        <v>11.062452599882663</v>
      </c>
      <c r="E172" s="83">
        <f t="shared" si="2"/>
        <v>1.2604477202238691</v>
      </c>
    </row>
    <row r="173" spans="2:5">
      <c r="B173" s="78">
        <v>42887</v>
      </c>
      <c r="C173" s="80">
        <v>2370</v>
      </c>
      <c r="D173" s="81">
        <v>13.355586326721747</v>
      </c>
      <c r="E173" s="81">
        <f t="shared" si="2"/>
        <v>2.2931337268390841</v>
      </c>
    </row>
    <row r="174" spans="2:5">
      <c r="B174" s="79">
        <v>42917</v>
      </c>
      <c r="C174" s="82">
        <v>2500</v>
      </c>
      <c r="D174" s="83">
        <v>14.082529548732362</v>
      </c>
      <c r="E174" s="83">
        <f t="shared" si="2"/>
        <v>0.72694322201061468</v>
      </c>
    </row>
    <row r="175" spans="2:5">
      <c r="B175" s="78">
        <v>42948</v>
      </c>
      <c r="C175" s="80">
        <v>2850</v>
      </c>
      <c r="D175" s="81">
        <v>16.048273509364925</v>
      </c>
      <c r="E175" s="81">
        <f t="shared" si="2"/>
        <v>1.9657439606325635</v>
      </c>
    </row>
    <row r="176" spans="2:5">
      <c r="B176" s="79">
        <v>42979</v>
      </c>
      <c r="C176" s="82">
        <v>2830</v>
      </c>
      <c r="D176" s="83">
        <v>15.955588014921309</v>
      </c>
      <c r="E176" s="83">
        <f t="shared" si="2"/>
        <v>-9.2685494443616179E-2</v>
      </c>
    </row>
    <row r="177" spans="2:5">
      <c r="B177" s="78">
        <v>43009</v>
      </c>
      <c r="C177" s="80">
        <v>2180</v>
      </c>
      <c r="D177" s="81">
        <v>12.254832423908272</v>
      </c>
      <c r="E177" s="81">
        <f t="shared" si="2"/>
        <v>-3.7007555910130367</v>
      </c>
    </row>
    <row r="178" spans="2:5">
      <c r="B178" s="79">
        <v>43040</v>
      </c>
      <c r="C178" s="82">
        <v>2100</v>
      </c>
      <c r="D178" s="83">
        <v>11.807732148160847</v>
      </c>
      <c r="E178" s="83">
        <f t="shared" si="2"/>
        <v>-0.44710027574742561</v>
      </c>
    </row>
    <row r="179" spans="2:5">
      <c r="B179" s="78">
        <v>43070</v>
      </c>
      <c r="C179" s="80">
        <v>1800</v>
      </c>
      <c r="D179" s="81">
        <v>10.099100774873836</v>
      </c>
      <c r="E179" s="81">
        <f t="shared" si="2"/>
        <v>-1.7086313732870106</v>
      </c>
    </row>
    <row r="180" spans="2:5">
      <c r="B180" s="79">
        <v>43101</v>
      </c>
      <c r="C180" s="82">
        <v>1550</v>
      </c>
      <c r="D180" s="83">
        <v>8.7024482753798669</v>
      </c>
      <c r="E180" s="83">
        <f t="shared" si="2"/>
        <v>-1.3966524994939693</v>
      </c>
    </row>
    <row r="181" spans="2:5">
      <c r="B181" s="78">
        <v>43132</v>
      </c>
      <c r="C181" s="80">
        <v>1850</v>
      </c>
      <c r="D181" s="81">
        <v>10.396273952539389</v>
      </c>
      <c r="E181" s="81">
        <f t="shared" si="2"/>
        <v>1.6938256771595217</v>
      </c>
    </row>
    <row r="182" spans="2:5">
      <c r="B182" s="79">
        <v>43160</v>
      </c>
      <c r="C182" s="82">
        <v>1930</v>
      </c>
      <c r="D182" s="83">
        <v>10.855545244866734</v>
      </c>
      <c r="E182" s="83">
        <f t="shared" si="2"/>
        <v>0.45927129232734565</v>
      </c>
    </row>
    <row r="183" spans="2:5">
      <c r="B183" s="78">
        <v>43191</v>
      </c>
      <c r="C183" s="80">
        <v>2080</v>
      </c>
      <c r="D183" s="81">
        <v>11.687665386981589</v>
      </c>
      <c r="E183" s="81">
        <f t="shared" si="2"/>
        <v>0.83212014211485474</v>
      </c>
    </row>
    <row r="184" spans="2:5">
      <c r="B184" s="79">
        <v>43221</v>
      </c>
      <c r="C184" s="82">
        <v>2350</v>
      </c>
      <c r="D184" s="83">
        <v>13.240468840288614</v>
      </c>
      <c r="E184" s="83">
        <f t="shared" si="2"/>
        <v>1.5528034533070247</v>
      </c>
    </row>
    <row r="185" spans="2:5">
      <c r="B185" s="78">
        <v>43252</v>
      </c>
      <c r="C185" s="80">
        <v>2320</v>
      </c>
      <c r="D185" s="81">
        <v>13.077556484047973</v>
      </c>
      <c r="E185" s="81">
        <f t="shared" si="2"/>
        <v>-0.16291235624064093</v>
      </c>
    </row>
    <row r="186" spans="2:5">
      <c r="B186" s="79">
        <v>43282</v>
      </c>
      <c r="C186" s="82">
        <v>2150</v>
      </c>
      <c r="D186" s="83">
        <v>12.107034059863715</v>
      </c>
      <c r="E186" s="83">
        <f t="shared" si="2"/>
        <v>-0.97052242418425827</v>
      </c>
    </row>
    <row r="187" spans="2:5">
      <c r="B187" s="78">
        <v>43313</v>
      </c>
      <c r="C187" s="80">
        <v>2230</v>
      </c>
      <c r="D187" s="81">
        <v>12.537249492667943</v>
      </c>
      <c r="E187" s="81">
        <f t="shared" si="2"/>
        <v>0.43021543280422847</v>
      </c>
    </row>
    <row r="188" spans="2:5">
      <c r="B188" s="79">
        <v>43344</v>
      </c>
      <c r="C188" s="82">
        <v>2130</v>
      </c>
      <c r="D188" s="83">
        <v>11.957831406370204</v>
      </c>
      <c r="E188" s="83">
        <f t="shared" si="2"/>
        <v>-0.57941808629773917</v>
      </c>
    </row>
    <row r="189" spans="2:5">
      <c r="B189" s="78">
        <v>43374</v>
      </c>
      <c r="C189" s="80">
        <v>1840</v>
      </c>
      <c r="D189" s="81">
        <v>10.302881543559311</v>
      </c>
      <c r="E189" s="81">
        <f t="shared" si="2"/>
        <v>-1.6549498628108932</v>
      </c>
    </row>
    <row r="190" spans="2:5">
      <c r="B190" s="79">
        <v>43405</v>
      </c>
      <c r="C190" s="82">
        <v>1830</v>
      </c>
      <c r="D190" s="83">
        <v>10.24136062451019</v>
      </c>
      <c r="E190" s="83">
        <f t="shared" si="2"/>
        <v>-6.1520919049121048E-2</v>
      </c>
    </row>
    <row r="191" spans="2:5">
      <c r="B191" s="78">
        <v>43435</v>
      </c>
      <c r="C191" s="80">
        <v>1700</v>
      </c>
      <c r="D191" s="81">
        <v>9.5146643252535661</v>
      </c>
      <c r="E191" s="81">
        <f t="shared" si="2"/>
        <v>-0.72669629925662349</v>
      </c>
    </row>
    <row r="192" spans="2:5">
      <c r="B192" s="79">
        <v>43466</v>
      </c>
      <c r="C192" s="82">
        <v>1710</v>
      </c>
      <c r="D192" s="83">
        <v>9.5535552065523479</v>
      </c>
      <c r="E192" s="83">
        <f t="shared" si="2"/>
        <v>3.8890881298781821E-2</v>
      </c>
    </row>
    <row r="193" spans="2:20">
      <c r="B193" s="78">
        <v>43497</v>
      </c>
      <c r="C193" s="80">
        <v>1610</v>
      </c>
      <c r="D193" s="81">
        <v>8.9821812712801581</v>
      </c>
      <c r="E193" s="81">
        <f t="shared" si="2"/>
        <v>-0.57137393527218983</v>
      </c>
    </row>
    <row r="194" spans="2:20">
      <c r="B194" s="79">
        <v>43525</v>
      </c>
      <c r="C194" s="82">
        <v>1510</v>
      </c>
      <c r="D194" s="83">
        <v>8.4055275532949416</v>
      </c>
      <c r="E194" s="83">
        <f t="shared" si="2"/>
        <v>-0.57665371798521647</v>
      </c>
    </row>
    <row r="195" spans="2:20">
      <c r="B195" s="78">
        <v>43556</v>
      </c>
      <c r="C195" s="80">
        <v>1500</v>
      </c>
      <c r="D195" s="81">
        <v>8.3249491854891531</v>
      </c>
      <c r="E195" s="81">
        <f t="shared" si="2"/>
        <v>-8.0578367805788531E-2</v>
      </c>
    </row>
    <row r="196" spans="2:20">
      <c r="B196" s="79">
        <v>43586</v>
      </c>
      <c r="C196" s="82">
        <v>1510</v>
      </c>
      <c r="D196" s="83">
        <v>8.3553950631923453</v>
      </c>
      <c r="E196" s="83">
        <f t="shared" si="2"/>
        <v>3.0445877703192181E-2</v>
      </c>
      <c r="F196" s="75"/>
    </row>
    <row r="197" spans="2:20">
      <c r="B197" s="78">
        <v>43617</v>
      </c>
      <c r="C197" s="80">
        <v>1450</v>
      </c>
      <c r="D197" s="81">
        <v>8.021409642031097</v>
      </c>
      <c r="E197" s="81">
        <f t="shared" si="2"/>
        <v>-0.3339854211612483</v>
      </c>
      <c r="F197" s="75"/>
    </row>
    <row r="198" spans="2:20">
      <c r="B198" s="79">
        <v>43647</v>
      </c>
      <c r="C198" s="82">
        <v>1410</v>
      </c>
      <c r="D198" s="83">
        <v>7.8207251600879557</v>
      </c>
      <c r="E198" s="83">
        <f t="shared" si="2"/>
        <v>-0.20068448194314126</v>
      </c>
    </row>
    <row r="199" spans="2:20">
      <c r="B199" s="78">
        <v>43678</v>
      </c>
      <c r="C199" s="80">
        <v>1400</v>
      </c>
      <c r="D199" s="81">
        <v>7.782813612075544</v>
      </c>
      <c r="E199" s="81">
        <f t="shared" si="2"/>
        <v>-3.79115480124117E-2</v>
      </c>
    </row>
    <row r="200" spans="2:20">
      <c r="B200" s="79">
        <v>43709</v>
      </c>
      <c r="C200" s="82">
        <v>1590</v>
      </c>
      <c r="D200" s="83">
        <v>8.8551305741363873</v>
      </c>
      <c r="E200" s="83">
        <f t="shared" ref="E200:E201" si="3">D200-D199</f>
        <v>1.0723169620608433</v>
      </c>
    </row>
    <row r="201" spans="2:20">
      <c r="B201" s="78">
        <v>43739</v>
      </c>
      <c r="C201" s="80">
        <v>1490</v>
      </c>
      <c r="D201" s="81">
        <v>8.2880759332124718</v>
      </c>
      <c r="E201" s="81">
        <f t="shared" si="3"/>
        <v>-0.56705464092391544</v>
      </c>
    </row>
    <row r="202" spans="2:20">
      <c r="B202" s="79">
        <v>43770</v>
      </c>
      <c r="C202" s="82">
        <v>1550</v>
      </c>
      <c r="D202" s="83">
        <v>8.6413140153547214</v>
      </c>
      <c r="E202" s="83">
        <f t="shared" ref="E202:E205" si="4">D202-D201</f>
        <v>0.35323808214224961</v>
      </c>
    </row>
    <row r="203" spans="2:20" ht="14.15" customHeight="1">
      <c r="B203" s="78">
        <v>43800</v>
      </c>
      <c r="C203" s="80">
        <v>1320</v>
      </c>
      <c r="D203" s="81">
        <v>7.3924815302619962</v>
      </c>
      <c r="E203" s="81">
        <f t="shared" si="4"/>
        <v>-1.2488324850927253</v>
      </c>
    </row>
    <row r="204" spans="2:20">
      <c r="B204" s="79">
        <v>43831</v>
      </c>
      <c r="C204" s="82">
        <v>1300</v>
      </c>
      <c r="D204" s="83">
        <v>7.3068190536233226</v>
      </c>
      <c r="E204" s="83">
        <f t="shared" ref="E204" si="5">D204-D203</f>
        <v>-8.5662476638673546E-2</v>
      </c>
    </row>
    <row r="205" spans="2:20">
      <c r="B205" s="78">
        <v>43862</v>
      </c>
      <c r="C205" s="80">
        <v>1250</v>
      </c>
      <c r="D205" s="81">
        <v>7.0201640650229855</v>
      </c>
      <c r="E205" s="81">
        <f t="shared" si="4"/>
        <v>-0.28665498860033711</v>
      </c>
    </row>
    <row r="206" spans="2:20">
      <c r="B206" s="79">
        <v>43891</v>
      </c>
      <c r="C206" s="82">
        <v>1280</v>
      </c>
      <c r="D206" s="83">
        <v>7.2104811437187903</v>
      </c>
      <c r="E206" s="83">
        <f>D206-D205</f>
        <v>0.19031707869580483</v>
      </c>
    </row>
    <row r="207" spans="2:20" ht="16" customHeight="1">
      <c r="B207" s="78">
        <v>43922</v>
      </c>
      <c r="C207" s="80">
        <v>900</v>
      </c>
      <c r="D207" s="81">
        <v>5.0970992681974536</v>
      </c>
      <c r="E207" s="81">
        <f t="shared" ref="E207" si="6">D207-D206</f>
        <v>-2.1133818755213367</v>
      </c>
      <c r="F207" s="76"/>
      <c r="G207" s="76"/>
      <c r="H207" s="76"/>
      <c r="I207" s="76"/>
      <c r="J207" s="76"/>
      <c r="K207" s="76"/>
      <c r="L207" s="76"/>
    </row>
    <row r="208" spans="2:20" ht="16" customHeight="1">
      <c r="B208" s="79">
        <v>43952</v>
      </c>
      <c r="C208" s="82">
        <v>1170</v>
      </c>
      <c r="D208" s="83">
        <v>6.6471461440140587</v>
      </c>
      <c r="E208" s="83">
        <f>D208-D207</f>
        <v>1.5500468758166051</v>
      </c>
      <c r="O208" s="75"/>
      <c r="P208" s="75"/>
      <c r="Q208" s="75"/>
      <c r="R208" s="75"/>
      <c r="S208" s="75"/>
      <c r="T208" s="75"/>
    </row>
    <row r="209" spans="2:20" ht="16" customHeight="1">
      <c r="B209" s="78">
        <v>43983</v>
      </c>
      <c r="C209" s="80">
        <v>1390</v>
      </c>
      <c r="D209" s="81">
        <v>7.9121462936790152</v>
      </c>
      <c r="E209" s="81">
        <f t="shared" ref="E209" si="7">D209-D208</f>
        <v>1.2650001496649566</v>
      </c>
    </row>
    <row r="210" spans="2:20">
      <c r="B210" s="79">
        <v>44013</v>
      </c>
      <c r="C210" s="82">
        <v>1430</v>
      </c>
      <c r="D210" s="83">
        <v>8.1457520928172631</v>
      </c>
      <c r="E210" s="83">
        <f t="shared" ref="E210:E216" si="8">D210-D209</f>
        <v>0.23360579913824786</v>
      </c>
    </row>
    <row r="211" spans="2:20" ht="16" customHeight="1">
      <c r="B211" s="78">
        <v>44044</v>
      </c>
      <c r="C211" s="80">
        <v>1480</v>
      </c>
      <c r="D211" s="81">
        <v>8.389022978995051</v>
      </c>
      <c r="E211" s="81">
        <f t="shared" si="8"/>
        <v>0.24327088617778792</v>
      </c>
    </row>
    <row r="212" spans="2:20" ht="16" customHeight="1">
      <c r="B212" s="79">
        <v>44075</v>
      </c>
      <c r="C212" s="82">
        <v>1530</v>
      </c>
      <c r="D212" s="83">
        <v>8.6743650792548852</v>
      </c>
      <c r="E212" s="83">
        <f t="shared" si="8"/>
        <v>0.2853421002598342</v>
      </c>
    </row>
    <row r="213" spans="2:20" s="75" customFormat="1">
      <c r="B213" s="78">
        <v>44105</v>
      </c>
      <c r="C213" s="80">
        <v>1540</v>
      </c>
      <c r="D213" s="81">
        <v>8.7332870520130204</v>
      </c>
      <c r="E213" s="81">
        <f t="shared" si="8"/>
        <v>5.8921972758135155E-2</v>
      </c>
      <c r="F213" s="69"/>
      <c r="G213" s="69"/>
      <c r="H213" s="69"/>
      <c r="I213" s="69"/>
      <c r="J213" s="69"/>
      <c r="K213" s="69"/>
      <c r="L213" s="69"/>
      <c r="O213" s="69"/>
      <c r="P213" s="69"/>
      <c r="Q213" s="69"/>
      <c r="R213" s="69"/>
      <c r="S213" s="69"/>
      <c r="T213" s="69"/>
    </row>
    <row r="214" spans="2:20">
      <c r="B214" s="79">
        <v>44136</v>
      </c>
      <c r="C214" s="82">
        <v>1370</v>
      </c>
      <c r="D214" s="83">
        <v>7.7828742885150692</v>
      </c>
      <c r="E214" s="83">
        <f t="shared" si="8"/>
        <v>-0.95041276349795112</v>
      </c>
    </row>
    <row r="215" spans="2:20">
      <c r="B215" s="78">
        <v>44166</v>
      </c>
      <c r="C215" s="80">
        <v>1150</v>
      </c>
      <c r="D215" s="81">
        <v>6.5320048938375201</v>
      </c>
      <c r="E215" s="81">
        <f t="shared" si="8"/>
        <v>-1.2508693946775491</v>
      </c>
    </row>
    <row r="216" spans="2:20">
      <c r="B216" s="79">
        <v>44197</v>
      </c>
      <c r="C216" s="82">
        <v>1237</v>
      </c>
      <c r="D216" s="83">
        <v>7.0404895973537229</v>
      </c>
      <c r="E216" s="83">
        <f t="shared" si="8"/>
        <v>0.50848470351620279</v>
      </c>
    </row>
    <row r="217" spans="2:20">
      <c r="B217" s="78">
        <v>44228</v>
      </c>
      <c r="C217" s="80">
        <v>1335</v>
      </c>
      <c r="D217" s="81">
        <v>7.6181182006241492</v>
      </c>
      <c r="E217" s="81">
        <f t="shared" ref="E217" si="9">D217-D216</f>
        <v>0.57762860327042631</v>
      </c>
    </row>
    <row r="218" spans="2:20">
      <c r="B218" s="79">
        <v>44256</v>
      </c>
      <c r="C218" s="82">
        <v>1471</v>
      </c>
      <c r="D218" s="83">
        <v>8.4239110436283191</v>
      </c>
      <c r="E218" s="83">
        <f>D218-D217</f>
        <v>0.80579284300416987</v>
      </c>
    </row>
    <row r="219" spans="2:20">
      <c r="B219" s="78">
        <v>44287</v>
      </c>
      <c r="C219" s="80">
        <v>1405</v>
      </c>
      <c r="D219" s="81">
        <v>8.0516358306417679</v>
      </c>
      <c r="E219" s="81">
        <f t="shared" ref="E219:E221" si="10">D219-D218</f>
        <v>-0.3722752129865512</v>
      </c>
    </row>
    <row r="220" spans="2:20">
      <c r="B220" s="79">
        <v>44317</v>
      </c>
      <c r="C220" s="82">
        <v>1348</v>
      </c>
      <c r="D220" s="83">
        <v>7.7365526870890449</v>
      </c>
      <c r="E220" s="83">
        <f>D220-D219</f>
        <v>-0.31508314355272304</v>
      </c>
    </row>
    <row r="221" spans="2:20">
      <c r="B221" s="78">
        <v>44348</v>
      </c>
      <c r="C221" s="80">
        <v>1433</v>
      </c>
      <c r="D221" s="81">
        <v>8.2496510693217431</v>
      </c>
      <c r="E221" s="81">
        <f t="shared" si="10"/>
        <v>0.51309838223269821</v>
      </c>
    </row>
    <row r="222" spans="2:20">
      <c r="B222" s="79">
        <v>44378</v>
      </c>
      <c r="C222" s="82">
        <v>1508</v>
      </c>
      <c r="D222" s="83">
        <v>8.6911240972919952</v>
      </c>
      <c r="E222" s="83">
        <f>D222-D221</f>
        <v>0.44147302797025212</v>
      </c>
    </row>
    <row r="223" spans="2:20">
      <c r="B223" s="78">
        <v>44409</v>
      </c>
      <c r="C223" s="80">
        <v>1563</v>
      </c>
      <c r="D223" s="81">
        <v>9.0181668505451889</v>
      </c>
      <c r="E223" s="81">
        <f t="shared" ref="E223" si="11">D223-D222</f>
        <v>0.32704275325319365</v>
      </c>
    </row>
    <row r="224" spans="2:20">
      <c r="B224" s="79">
        <v>44440</v>
      </c>
      <c r="C224" s="82">
        <v>1656</v>
      </c>
      <c r="D224" s="83">
        <v>9.572518585323305</v>
      </c>
      <c r="E224" s="83">
        <f t="shared" ref="E224:E230" si="12">D224-D223</f>
        <v>0.55435173477811617</v>
      </c>
    </row>
    <row r="225" spans="2:5">
      <c r="B225" s="78">
        <v>44470</v>
      </c>
      <c r="C225" s="80">
        <v>1855</v>
      </c>
      <c r="D225" s="81">
        <v>10.712373936957032</v>
      </c>
      <c r="E225" s="81">
        <f t="shared" si="12"/>
        <v>1.1398553516337273</v>
      </c>
    </row>
    <row r="226" spans="2:5">
      <c r="B226" s="79">
        <v>44501</v>
      </c>
      <c r="C226" s="82">
        <v>2139</v>
      </c>
      <c r="D226" s="83">
        <v>12.370789723522831</v>
      </c>
      <c r="E226" s="83">
        <f t="shared" si="12"/>
        <v>1.6584157865657989</v>
      </c>
    </row>
    <row r="227" spans="2:5">
      <c r="B227" s="78">
        <v>44531</v>
      </c>
      <c r="C227" s="80">
        <v>2054</v>
      </c>
      <c r="D227" s="81">
        <v>11.901227939634301</v>
      </c>
      <c r="E227" s="81">
        <f t="shared" si="12"/>
        <v>-0.46956178388852976</v>
      </c>
    </row>
    <row r="228" spans="2:5">
      <c r="B228" s="79">
        <v>44562</v>
      </c>
      <c r="C228" s="82">
        <v>2155</v>
      </c>
      <c r="D228" s="83">
        <v>12.504720206257957</v>
      </c>
      <c r="E228" s="83">
        <f t="shared" si="12"/>
        <v>0.60349226662365574</v>
      </c>
    </row>
    <row r="229" spans="2:5">
      <c r="B229" s="78">
        <v>44593</v>
      </c>
      <c r="C229" s="80">
        <v>2239</v>
      </c>
      <c r="D229" s="81">
        <v>12.963324725979565</v>
      </c>
      <c r="E229" s="81">
        <f t="shared" si="12"/>
        <v>0.45860451972160732</v>
      </c>
    </row>
    <row r="230" spans="2:5">
      <c r="B230" s="79">
        <v>44621</v>
      </c>
      <c r="C230" s="82">
        <v>2330</v>
      </c>
      <c r="D230" s="83">
        <v>13.480198429167551</v>
      </c>
      <c r="E230" s="83">
        <f t="shared" si="12"/>
        <v>0.51687370318798642</v>
      </c>
    </row>
    <row r="231" spans="2:5">
      <c r="B231" s="78">
        <v>44652</v>
      </c>
      <c r="C231" s="80">
        <v>2612</v>
      </c>
      <c r="D231" s="81">
        <v>15.128517112848991</v>
      </c>
      <c r="E231" s="81">
        <f t="shared" ref="E231:E232" si="13">D231-D230</f>
        <v>1.6483186836814401</v>
      </c>
    </row>
    <row r="232" spans="2:5">
      <c r="B232" s="79">
        <v>44682</v>
      </c>
      <c r="C232" s="82">
        <v>2579</v>
      </c>
      <c r="D232" s="83">
        <v>14.942915912543178</v>
      </c>
      <c r="E232" s="83">
        <f t="shared" si="13"/>
        <v>-0.18560120030581295</v>
      </c>
    </row>
    <row r="233" spans="2:5">
      <c r="B233" s="78">
        <v>44713</v>
      </c>
      <c r="C233" s="80">
        <v>2734</v>
      </c>
      <c r="D233" s="81">
        <v>15.77545475327566</v>
      </c>
      <c r="E233" s="81">
        <f t="shared" ref="E233:E242" si="14">D233-D232</f>
        <v>0.8325388407324823</v>
      </c>
    </row>
    <row r="234" spans="2:5">
      <c r="B234" s="79">
        <v>44743</v>
      </c>
      <c r="C234" s="82">
        <v>2850</v>
      </c>
      <c r="D234" s="83">
        <v>16.475355332568352</v>
      </c>
      <c r="E234" s="83">
        <f t="shared" si="14"/>
        <v>0.69990057929269156</v>
      </c>
    </row>
    <row r="235" spans="2:5">
      <c r="B235" s="78">
        <v>44774</v>
      </c>
      <c r="C235" s="80">
        <v>2774</v>
      </c>
      <c r="D235" s="81">
        <v>16.05386477407486</v>
      </c>
      <c r="E235" s="81">
        <f t="shared" si="14"/>
        <v>-0.42149055849349182</v>
      </c>
    </row>
    <row r="236" spans="2:5">
      <c r="B236" s="79">
        <v>44805</v>
      </c>
      <c r="C236" s="82">
        <v>2858</v>
      </c>
      <c r="D236" s="83">
        <v>16.527732889903199</v>
      </c>
      <c r="E236" s="83">
        <f t="shared" si="14"/>
        <v>0.47386811582833843</v>
      </c>
    </row>
    <row r="237" spans="2:5">
      <c r="B237" s="78">
        <v>44835</v>
      </c>
      <c r="C237" s="80">
        <v>2807</v>
      </c>
      <c r="D237" s="81">
        <v>16.262909043846712</v>
      </c>
      <c r="E237" s="81">
        <f t="shared" si="14"/>
        <v>-0.2648238460564869</v>
      </c>
    </row>
    <row r="238" spans="2:5">
      <c r="B238" s="79">
        <v>44866</v>
      </c>
      <c r="C238" s="82">
        <v>2357</v>
      </c>
      <c r="D238" s="83">
        <v>13.655745142980654</v>
      </c>
      <c r="E238" s="83">
        <f t="shared" si="14"/>
        <v>-2.6071639008660572</v>
      </c>
    </row>
    <row r="239" spans="2:5">
      <c r="B239" s="78">
        <v>44896</v>
      </c>
      <c r="C239" s="80">
        <v>2042</v>
      </c>
      <c r="D239" s="81">
        <v>11.814268087955291</v>
      </c>
      <c r="E239" s="81">
        <f t="shared" si="14"/>
        <v>-1.8414770550253632</v>
      </c>
    </row>
    <row r="240" spans="2:5">
      <c r="B240" s="79">
        <v>44927</v>
      </c>
      <c r="C240" s="82">
        <v>1747</v>
      </c>
      <c r="D240" s="83">
        <v>10.095716870077839</v>
      </c>
      <c r="E240" s="83">
        <f t="shared" si="14"/>
        <v>-1.7185512178774527</v>
      </c>
    </row>
    <row r="241" spans="1:5">
      <c r="B241" s="78">
        <v>44958</v>
      </c>
      <c r="C241" s="80">
        <v>1508</v>
      </c>
      <c r="D241" s="81">
        <v>8.7372073010687608</v>
      </c>
      <c r="E241" s="81">
        <f>D241-D240</f>
        <v>-1.3585095690090778</v>
      </c>
    </row>
    <row r="242" spans="1:5">
      <c r="B242" s="79">
        <v>44986</v>
      </c>
      <c r="C242" s="82">
        <v>1610</v>
      </c>
      <c r="D242" s="83">
        <v>9.3385467693655215</v>
      </c>
      <c r="E242" s="83">
        <f t="shared" si="14"/>
        <v>0.60133946829676077</v>
      </c>
    </row>
    <row r="243" spans="1:5">
      <c r="B243" s="78">
        <v>45017</v>
      </c>
      <c r="C243" s="80">
        <v>1518</v>
      </c>
      <c r="D243" s="81">
        <v>8.8211974985267769</v>
      </c>
      <c r="E243" s="81">
        <f>D243-D242</f>
        <v>-0.5173492708387446</v>
      </c>
    </row>
    <row r="244" spans="1:5">
      <c r="B244" s="79">
        <v>45047</v>
      </c>
      <c r="C244" s="82">
        <v>1490</v>
      </c>
      <c r="D244" s="83">
        <v>8.6872546276193354</v>
      </c>
      <c r="E244" s="83">
        <f t="shared" ref="E244:E245" si="15">D244-D243</f>
        <v>-0.1339428709074415</v>
      </c>
    </row>
    <row r="245" spans="1:5">
      <c r="B245" s="78">
        <v>45078</v>
      </c>
      <c r="C245" s="80">
        <v>1622</v>
      </c>
      <c r="D245" s="81">
        <v>9.449904774165141</v>
      </c>
      <c r="E245" s="81">
        <f t="shared" si="15"/>
        <v>0.76265014654580554</v>
      </c>
    </row>
    <row r="246" spans="1:5">
      <c r="B246" s="79">
        <v>45108</v>
      </c>
      <c r="C246" s="82">
        <v>1644</v>
      </c>
      <c r="D246" s="83">
        <v>9.5710251985477779</v>
      </c>
      <c r="E246" s="83">
        <f t="shared" ref="E246:E247" si="16">D246-D245</f>
        <v>0.12112042438263693</v>
      </c>
    </row>
    <row r="247" spans="1:5">
      <c r="B247" s="78">
        <v>45139</v>
      </c>
      <c r="C247" s="80">
        <v>1623</v>
      </c>
      <c r="D247" s="81">
        <v>9.2790126602754679</v>
      </c>
      <c r="E247" s="81">
        <f t="shared" si="16"/>
        <v>-0.29201253827231</v>
      </c>
    </row>
    <row r="248" spans="1:5">
      <c r="B248" s="79">
        <v>45170</v>
      </c>
      <c r="C248" s="82">
        <v>1648</v>
      </c>
      <c r="D248" s="83">
        <v>9.4502247669932</v>
      </c>
      <c r="E248" s="83">
        <f t="shared" ref="E248:E253" si="17">D248-D247</f>
        <v>0.17121210671773213</v>
      </c>
    </row>
    <row r="249" spans="1:5">
      <c r="B249" s="78">
        <v>45200</v>
      </c>
      <c r="C249" s="80">
        <v>1791</v>
      </c>
      <c r="D249" s="81">
        <v>10.262554140853652</v>
      </c>
      <c r="E249" s="81">
        <f t="shared" si="17"/>
        <v>0.81232937386045201</v>
      </c>
    </row>
    <row r="250" spans="1:5">
      <c r="B250" s="79">
        <v>45231</v>
      </c>
      <c r="C250" s="82">
        <v>1985</v>
      </c>
      <c r="D250" s="83">
        <v>11.36567119333829</v>
      </c>
      <c r="E250" s="83">
        <f t="shared" si="17"/>
        <v>1.1031170524846381</v>
      </c>
    </row>
    <row r="251" spans="1:5">
      <c r="A251" s="117"/>
      <c r="B251" s="78">
        <v>45261</v>
      </c>
      <c r="C251" s="80">
        <v>2054</v>
      </c>
      <c r="D251" s="81">
        <v>11.67896112549497</v>
      </c>
      <c r="E251" s="81">
        <f t="shared" si="17"/>
        <v>0.31328993215668</v>
      </c>
    </row>
    <row r="252" spans="1:5">
      <c r="A252" s="117"/>
      <c r="B252" s="79">
        <v>45292</v>
      </c>
      <c r="C252" s="82">
        <v>2021</v>
      </c>
      <c r="D252" s="83">
        <v>11.498990368075328</v>
      </c>
      <c r="E252" s="83">
        <f t="shared" si="17"/>
        <v>-0.17997075741964252</v>
      </c>
    </row>
    <row r="253" spans="1:5">
      <c r="B253" s="78">
        <v>45323</v>
      </c>
      <c r="C253" s="80">
        <v>1996</v>
      </c>
      <c r="D253" s="81">
        <v>11.356746548579096</v>
      </c>
      <c r="E253" s="81">
        <f t="shared" si="17"/>
        <v>-0.14224381949623144</v>
      </c>
    </row>
    <row r="254" spans="1:5">
      <c r="B254" s="79">
        <v>45352</v>
      </c>
      <c r="C254" s="82">
        <v>2045</v>
      </c>
      <c r="D254" s="83">
        <v>11.622383709479207</v>
      </c>
      <c r="E254" s="83">
        <f t="shared" ref="E254" si="18">D254-D253</f>
        <v>0.26563716090011091</v>
      </c>
    </row>
    <row r="255" spans="1:5">
      <c r="B255" s="78">
        <v>45383</v>
      </c>
      <c r="C255" s="80">
        <v>2037</v>
      </c>
      <c r="D255" s="81">
        <v>11.661122523898115</v>
      </c>
      <c r="E255" s="81">
        <f t="shared" ref="E255:E256" si="19">D255-D254</f>
        <v>3.8738814418907808E-2</v>
      </c>
    </row>
    <row r="256" spans="1:5">
      <c r="B256" s="79">
        <v>45413</v>
      </c>
      <c r="C256" s="82">
        <v>2104</v>
      </c>
      <c r="D256" s="83">
        <v>12.04467441840041</v>
      </c>
      <c r="E256" s="83">
        <f t="shared" si="19"/>
        <v>0.3835518945022951</v>
      </c>
    </row>
    <row r="257" spans="1:5">
      <c r="B257" s="78">
        <v>45444</v>
      </c>
      <c r="C257" s="80">
        <v>2292</v>
      </c>
      <c r="D257" s="81">
        <v>13.155326973313558</v>
      </c>
      <c r="E257" s="81">
        <f t="shared" ref="E257:E262" si="20">D257-D256</f>
        <v>1.1106525549131483</v>
      </c>
    </row>
    <row r="258" spans="1:5">
      <c r="B258" s="79">
        <v>45474</v>
      </c>
      <c r="C258" s="82">
        <v>2528</v>
      </c>
      <c r="D258" s="83">
        <v>14.547850674534324</v>
      </c>
      <c r="E258" s="83">
        <f t="shared" si="20"/>
        <v>1.3925237012207656</v>
      </c>
    </row>
    <row r="259" spans="1:5">
      <c r="B259" s="78">
        <v>45505</v>
      </c>
      <c r="C259" s="80">
        <v>2703</v>
      </c>
      <c r="D259" s="81">
        <v>15.491354008204928</v>
      </c>
      <c r="E259" s="81">
        <f t="shared" si="20"/>
        <v>0.94350333367060379</v>
      </c>
    </row>
    <row r="260" spans="1:5">
      <c r="B260" s="79">
        <v>45536</v>
      </c>
      <c r="C260" s="82">
        <v>3147</v>
      </c>
      <c r="D260" s="83">
        <v>18.049495544427955</v>
      </c>
      <c r="E260" s="83">
        <f t="shared" si="20"/>
        <v>2.5581415362230278</v>
      </c>
    </row>
    <row r="261" spans="1:5">
      <c r="B261" s="78">
        <v>45566</v>
      </c>
      <c r="C261" s="80">
        <v>3096</v>
      </c>
      <c r="D261" s="81">
        <v>17.843326543534939</v>
      </c>
      <c r="E261" s="81">
        <f t="shared" si="20"/>
        <v>-0.20616900089301637</v>
      </c>
    </row>
    <row r="262" spans="1:5">
      <c r="B262" s="79">
        <v>45597</v>
      </c>
      <c r="C262" s="82">
        <v>3059</v>
      </c>
      <c r="D262" s="83">
        <v>17.695703939589276</v>
      </c>
      <c r="E262" s="83">
        <f t="shared" si="20"/>
        <v>-0.1476226039456634</v>
      </c>
    </row>
    <row r="263" spans="1:5">
      <c r="A263" s="127"/>
      <c r="B263" s="78">
        <v>45627</v>
      </c>
      <c r="C263" s="80">
        <v>3016</v>
      </c>
      <c r="D263" s="81">
        <v>17.466367185692956</v>
      </c>
      <c r="E263" s="81">
        <f t="shared" ref="E263:E264" si="21">D263-D262</f>
        <v>-0.22933675389631958</v>
      </c>
    </row>
    <row r="264" spans="1:5">
      <c r="A264" s="127"/>
      <c r="B264" s="79">
        <v>45658</v>
      </c>
      <c r="C264" s="82">
        <v>2630</v>
      </c>
      <c r="D264" s="83">
        <v>15.242233851492855</v>
      </c>
      <c r="E264" s="83">
        <f t="shared" si="21"/>
        <v>-2.2241333342001006</v>
      </c>
    </row>
    <row r="265" spans="1:5">
      <c r="B265" s="78">
        <v>45689</v>
      </c>
      <c r="C265" s="80">
        <v>2626</v>
      </c>
      <c r="D265" s="81">
        <v>14.791134150992164</v>
      </c>
      <c r="E265" s="81">
        <f t="shared" ref="E265:E266" si="22">D265-D264</f>
        <v>-0.45109970050069137</v>
      </c>
    </row>
    <row r="266" spans="1:5">
      <c r="B266" s="79">
        <v>45717</v>
      </c>
      <c r="C266" s="82">
        <v>2624</v>
      </c>
      <c r="D266" s="83">
        <v>14.84067137973093</v>
      </c>
      <c r="E266" s="83">
        <f t="shared" si="22"/>
        <v>4.9537228738765648E-2</v>
      </c>
    </row>
    <row r="267" spans="1:5">
      <c r="B267" s="78">
        <v>45748</v>
      </c>
      <c r="C267" s="80">
        <v>2625</v>
      </c>
      <c r="D267" s="81">
        <v>14.837302078729778</v>
      </c>
      <c r="E267" s="81">
        <f t="shared" ref="E267" si="23">D267-D266</f>
        <v>-3.3693010011521807E-3</v>
      </c>
    </row>
    <row r="268" spans="1:5">
      <c r="B268" s="79">
        <v>45778</v>
      </c>
      <c r="C268" s="82">
        <v>2538</v>
      </c>
      <c r="D268" s="83">
        <v>14.37</v>
      </c>
      <c r="E268" s="83">
        <f t="shared" ref="E268:E270" si="24">D268-D267</f>
        <v>-0.46730207872977836</v>
      </c>
    </row>
    <row r="269" spans="1:5">
      <c r="B269" s="78">
        <v>45809</v>
      </c>
      <c r="C269" s="80">
        <v>2657</v>
      </c>
      <c r="D269" s="81">
        <v>15.080873251513941</v>
      </c>
      <c r="E269" s="81">
        <f t="shared" si="24"/>
        <v>0.71087325151394154</v>
      </c>
    </row>
    <row r="270" spans="1:5">
      <c r="B270" s="79">
        <v>45839</v>
      </c>
      <c r="C270" s="82">
        <v>2774</v>
      </c>
      <c r="D270" s="83">
        <v>15.780658358371252</v>
      </c>
      <c r="E270" s="83">
        <f t="shared" si="24"/>
        <v>0.69978510685731088</v>
      </c>
    </row>
    <row r="271" spans="1:5">
      <c r="B271" s="78">
        <v>45870</v>
      </c>
      <c r="C271" s="80">
        <v>2730</v>
      </c>
      <c r="D271" s="81">
        <v>15.448105383320627</v>
      </c>
      <c r="E271" s="81">
        <f t="shared" ref="E271:E272" si="25">D271-D270</f>
        <v>-0.33255297505062487</v>
      </c>
    </row>
    <row r="272" spans="1:5">
      <c r="B272" s="79">
        <v>45901</v>
      </c>
      <c r="C272" s="82">
        <v>2587</v>
      </c>
      <c r="D272" s="83">
        <v>14.661117311110971</v>
      </c>
      <c r="E272" s="83">
        <f t="shared" si="25"/>
        <v>-0.78698807220965605</v>
      </c>
    </row>
    <row r="273" spans="2:5">
      <c r="B273" s="78">
        <v>45931</v>
      </c>
      <c r="C273" s="80">
        <v>1986</v>
      </c>
      <c r="D273" s="81">
        <v>11.284093476443708</v>
      </c>
      <c r="E273" s="81">
        <f t="shared" ref="E273:E274" si="26">D273-D272</f>
        <v>-3.3770238346672627</v>
      </c>
    </row>
    <row r="274" spans="2:5">
      <c r="B274" s="79">
        <v>45962</v>
      </c>
      <c r="C274" s="82">
        <v>1752</v>
      </c>
      <c r="D274" s="83">
        <v>9.9551831055847479</v>
      </c>
      <c r="E274" s="83">
        <f t="shared" si="26"/>
        <v>-1.32891037085896</v>
      </c>
    </row>
    <row r="275" spans="2:5">
      <c r="B275" s="78">
        <v>45992</v>
      </c>
      <c r="C275" s="80">
        <v>1312</v>
      </c>
      <c r="D275" s="81">
        <v>7.4686039734355472</v>
      </c>
      <c r="E275" s="81">
        <f t="shared" ref="E275:E279" si="27">D275-D274</f>
        <v>-2.4865791321492008</v>
      </c>
    </row>
    <row r="276" spans="2:5">
      <c r="B276" s="79">
        <v>46023</v>
      </c>
      <c r="C276" s="82">
        <v>1185</v>
      </c>
      <c r="D276" s="83">
        <v>6.7590713497456889</v>
      </c>
      <c r="E276" s="83">
        <f t="shared" si="27"/>
        <v>-0.70953262368985826</v>
      </c>
    </row>
    <row r="277" spans="2:5">
      <c r="B277" s="78">
        <v>46054</v>
      </c>
      <c r="C277" s="80">
        <v>1250</v>
      </c>
      <c r="D277" s="81">
        <v>7.14</v>
      </c>
      <c r="E277" s="81">
        <f t="shared" si="27"/>
        <v>0.38092865025431077</v>
      </c>
    </row>
    <row r="278" spans="2:5">
      <c r="B278" s="79">
        <v>46082</v>
      </c>
      <c r="C278" s="82">
        <v>1556</v>
      </c>
      <c r="D278" s="83">
        <v>8.8923689519813198</v>
      </c>
      <c r="E278" s="83">
        <f t="shared" si="27"/>
        <v>1.7523689519813201</v>
      </c>
    </row>
    <row r="279" spans="2:5">
      <c r="B279" s="78">
        <v>46113</v>
      </c>
      <c r="C279" s="80">
        <v>1238</v>
      </c>
      <c r="D279" s="81">
        <v>7.0760493444459938</v>
      </c>
      <c r="E279" s="81">
        <f t="shared" si="27"/>
        <v>-1.8163196075353261</v>
      </c>
    </row>
  </sheetData>
  <pageMargins left="0.7" right="0.7" top="0.75" bottom="0.75" header="0.3" footer="0.3"/>
  <pageSetup paperSize="8" orientation="portrait" r:id="rId1"/>
  <headerFooter>
    <oddHeader>&amp;L&amp;"System Font,Regular"&amp;10&amp;K000000&amp;F&amp;C&amp;"Aptos"&amp;12&amp;K000000 OFFICIAL&amp;1#_x000D_&amp;R&amp;N</oddHeader>
    <oddFooter>&amp;C&amp;"Arial (Body)</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tabSelected="1" zoomScale="85" zoomScaleNormal="85" workbookViewId="0">
      <selection activeCell="N24" sqref="N24"/>
    </sheetView>
  </sheetViews>
  <sheetFormatPr defaultColWidth="9.1796875" defaultRowHeight="12.5"/>
  <cols>
    <col min="1" max="16384" width="9.1796875" style="44"/>
  </cols>
  <sheetData/>
  <pageMargins left="0.75" right="0.75" top="1" bottom="1" header="0.5" footer="0.5"/>
  <pageSetup paperSize="9" orientation="portrait" r:id="rId1"/>
  <headerFooter alignWithMargins="0">
    <oddHeader>&amp;C&amp;"Aptos"&amp;12&amp;K000000 OFFICIAL&amp;1#_x000D_</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3:F10"/>
  <sheetViews>
    <sheetView zoomScaleNormal="100" workbookViewId="0">
      <selection activeCell="C7" sqref="C7"/>
    </sheetView>
  </sheetViews>
  <sheetFormatPr defaultRowHeight="12.5"/>
  <cols>
    <col min="1" max="1" width="21" style="53" customWidth="1"/>
    <col min="2" max="2" width="4.453125" style="53" customWidth="1"/>
    <col min="3" max="3" width="17.1796875" style="53" customWidth="1"/>
    <col min="4" max="6" width="25.81640625" style="53" customWidth="1"/>
    <col min="7" max="259" width="9.1796875" style="53"/>
    <col min="260" max="260" width="9" style="53" customWidth="1"/>
    <col min="261" max="261" width="11.54296875" style="53" customWidth="1"/>
    <col min="262" max="262" width="13" style="53" customWidth="1"/>
    <col min="263" max="515" width="9.1796875" style="53"/>
    <col min="516" max="516" width="9" style="53" customWidth="1"/>
    <col min="517" max="517" width="11.54296875" style="53" customWidth="1"/>
    <col min="518" max="518" width="13" style="53" customWidth="1"/>
    <col min="519" max="771" width="9.1796875" style="53"/>
    <col min="772" max="772" width="9" style="53" customWidth="1"/>
    <col min="773" max="773" width="11.54296875" style="53" customWidth="1"/>
    <col min="774" max="774" width="13" style="53" customWidth="1"/>
    <col min="775" max="1027" width="9.1796875" style="53"/>
    <col min="1028" max="1028" width="9" style="53" customWidth="1"/>
    <col min="1029" max="1029" width="11.54296875" style="53" customWidth="1"/>
    <col min="1030" max="1030" width="13" style="53" customWidth="1"/>
    <col min="1031" max="1283" width="9.1796875" style="53"/>
    <col min="1284" max="1284" width="9" style="53" customWidth="1"/>
    <col min="1285" max="1285" width="11.54296875" style="53" customWidth="1"/>
    <col min="1286" max="1286" width="13" style="53" customWidth="1"/>
    <col min="1287" max="1539" width="9.1796875" style="53"/>
    <col min="1540" max="1540" width="9" style="53" customWidth="1"/>
    <col min="1541" max="1541" width="11.54296875" style="53" customWidth="1"/>
    <col min="1542" max="1542" width="13" style="53" customWidth="1"/>
    <col min="1543" max="1795" width="9.1796875" style="53"/>
    <col min="1796" max="1796" width="9" style="53" customWidth="1"/>
    <col min="1797" max="1797" width="11.54296875" style="53" customWidth="1"/>
    <col min="1798" max="1798" width="13" style="53" customWidth="1"/>
    <col min="1799" max="2051" width="9.1796875" style="53"/>
    <col min="2052" max="2052" width="9" style="53" customWidth="1"/>
    <col min="2053" max="2053" width="11.54296875" style="53" customWidth="1"/>
    <col min="2054" max="2054" width="13" style="53" customWidth="1"/>
    <col min="2055" max="2307" width="9.1796875" style="53"/>
    <col min="2308" max="2308" width="9" style="53" customWidth="1"/>
    <col min="2309" max="2309" width="11.54296875" style="53" customWidth="1"/>
    <col min="2310" max="2310" width="13" style="53" customWidth="1"/>
    <col min="2311" max="2563" width="9.1796875" style="53"/>
    <col min="2564" max="2564" width="9" style="53" customWidth="1"/>
    <col min="2565" max="2565" width="11.54296875" style="53" customWidth="1"/>
    <col min="2566" max="2566" width="13" style="53" customWidth="1"/>
    <col min="2567" max="2819" width="9.1796875" style="53"/>
    <col min="2820" max="2820" width="9" style="53" customWidth="1"/>
    <col min="2821" max="2821" width="11.54296875" style="53" customWidth="1"/>
    <col min="2822" max="2822" width="13" style="53" customWidth="1"/>
    <col min="2823" max="3075" width="9.1796875" style="53"/>
    <col min="3076" max="3076" width="9" style="53" customWidth="1"/>
    <col min="3077" max="3077" width="11.54296875" style="53" customWidth="1"/>
    <col min="3078" max="3078" width="13" style="53" customWidth="1"/>
    <col min="3079" max="3331" width="9.1796875" style="53"/>
    <col min="3332" max="3332" width="9" style="53" customWidth="1"/>
    <col min="3333" max="3333" width="11.54296875" style="53" customWidth="1"/>
    <col min="3334" max="3334" width="13" style="53" customWidth="1"/>
    <col min="3335" max="3587" width="9.1796875" style="53"/>
    <col min="3588" max="3588" width="9" style="53" customWidth="1"/>
    <col min="3589" max="3589" width="11.54296875" style="53" customWidth="1"/>
    <col min="3590" max="3590" width="13" style="53" customWidth="1"/>
    <col min="3591" max="3843" width="9.1796875" style="53"/>
    <col min="3844" max="3844" width="9" style="53" customWidth="1"/>
    <col min="3845" max="3845" width="11.54296875" style="53" customWidth="1"/>
    <col min="3846" max="3846" width="13" style="53" customWidth="1"/>
    <col min="3847" max="4099" width="9.1796875" style="53"/>
    <col min="4100" max="4100" width="9" style="53" customWidth="1"/>
    <col min="4101" max="4101" width="11.54296875" style="53" customWidth="1"/>
    <col min="4102" max="4102" width="13" style="53" customWidth="1"/>
    <col min="4103" max="4355" width="9.1796875" style="53"/>
    <col min="4356" max="4356" width="9" style="53" customWidth="1"/>
    <col min="4357" max="4357" width="11.54296875" style="53" customWidth="1"/>
    <col min="4358" max="4358" width="13" style="53" customWidth="1"/>
    <col min="4359" max="4611" width="9.1796875" style="53"/>
    <col min="4612" max="4612" width="9" style="53" customWidth="1"/>
    <col min="4613" max="4613" width="11.54296875" style="53" customWidth="1"/>
    <col min="4614" max="4614" width="13" style="53" customWidth="1"/>
    <col min="4615" max="4867" width="9.1796875" style="53"/>
    <col min="4868" max="4868" width="9" style="53" customWidth="1"/>
    <col min="4869" max="4869" width="11.54296875" style="53" customWidth="1"/>
    <col min="4870" max="4870" width="13" style="53" customWidth="1"/>
    <col min="4871" max="5123" width="9.1796875" style="53"/>
    <col min="5124" max="5124" width="9" style="53" customWidth="1"/>
    <col min="5125" max="5125" width="11.54296875" style="53" customWidth="1"/>
    <col min="5126" max="5126" width="13" style="53" customWidth="1"/>
    <col min="5127" max="5379" width="9.1796875" style="53"/>
    <col min="5380" max="5380" width="9" style="53" customWidth="1"/>
    <col min="5381" max="5381" width="11.54296875" style="53" customWidth="1"/>
    <col min="5382" max="5382" width="13" style="53" customWidth="1"/>
    <col min="5383" max="5635" width="9.1796875" style="53"/>
    <col min="5636" max="5636" width="9" style="53" customWidth="1"/>
    <col min="5637" max="5637" width="11.54296875" style="53" customWidth="1"/>
    <col min="5638" max="5638" width="13" style="53" customWidth="1"/>
    <col min="5639" max="5891" width="9.1796875" style="53"/>
    <col min="5892" max="5892" width="9" style="53" customWidth="1"/>
    <col min="5893" max="5893" width="11.54296875" style="53" customWidth="1"/>
    <col min="5894" max="5894" width="13" style="53" customWidth="1"/>
    <col min="5895" max="6147" width="9.1796875" style="53"/>
    <col min="6148" max="6148" width="9" style="53" customWidth="1"/>
    <col min="6149" max="6149" width="11.54296875" style="53" customWidth="1"/>
    <col min="6150" max="6150" width="13" style="53" customWidth="1"/>
    <col min="6151" max="6403" width="9.1796875" style="53"/>
    <col min="6404" max="6404" width="9" style="53" customWidth="1"/>
    <col min="6405" max="6405" width="11.54296875" style="53" customWidth="1"/>
    <col min="6406" max="6406" width="13" style="53" customWidth="1"/>
    <col min="6407" max="6659" width="9.1796875" style="53"/>
    <col min="6660" max="6660" width="9" style="53" customWidth="1"/>
    <col min="6661" max="6661" width="11.54296875" style="53" customWidth="1"/>
    <col min="6662" max="6662" width="13" style="53" customWidth="1"/>
    <col min="6663" max="6915" width="9.1796875" style="53"/>
    <col min="6916" max="6916" width="9" style="53" customWidth="1"/>
    <col min="6917" max="6917" width="11.54296875" style="53" customWidth="1"/>
    <col min="6918" max="6918" width="13" style="53" customWidth="1"/>
    <col min="6919" max="7171" width="9.1796875" style="53"/>
    <col min="7172" max="7172" width="9" style="53" customWidth="1"/>
    <col min="7173" max="7173" width="11.54296875" style="53" customWidth="1"/>
    <col min="7174" max="7174" width="13" style="53" customWidth="1"/>
    <col min="7175" max="7427" width="9.1796875" style="53"/>
    <col min="7428" max="7428" width="9" style="53" customWidth="1"/>
    <col min="7429" max="7429" width="11.54296875" style="53" customWidth="1"/>
    <col min="7430" max="7430" width="13" style="53" customWidth="1"/>
    <col min="7431" max="7683" width="9.1796875" style="53"/>
    <col min="7684" max="7684" width="9" style="53" customWidth="1"/>
    <col min="7685" max="7685" width="11.54296875" style="53" customWidth="1"/>
    <col min="7686" max="7686" width="13" style="53" customWidth="1"/>
    <col min="7687" max="7939" width="9.1796875" style="53"/>
    <col min="7940" max="7940" width="9" style="53" customWidth="1"/>
    <col min="7941" max="7941" width="11.54296875" style="53" customWidth="1"/>
    <col min="7942" max="7942" width="13" style="53" customWidth="1"/>
    <col min="7943" max="8195" width="9.1796875" style="53"/>
    <col min="8196" max="8196" width="9" style="53" customWidth="1"/>
    <col min="8197" max="8197" width="11.54296875" style="53" customWidth="1"/>
    <col min="8198" max="8198" width="13" style="53" customWidth="1"/>
    <col min="8199" max="8451" width="9.1796875" style="53"/>
    <col min="8452" max="8452" width="9" style="53" customWidth="1"/>
    <col min="8453" max="8453" width="11.54296875" style="53" customWidth="1"/>
    <col min="8454" max="8454" width="13" style="53" customWidth="1"/>
    <col min="8455" max="8707" width="9.1796875" style="53"/>
    <col min="8708" max="8708" width="9" style="53" customWidth="1"/>
    <col min="8709" max="8709" width="11.54296875" style="53" customWidth="1"/>
    <col min="8710" max="8710" width="13" style="53" customWidth="1"/>
    <col min="8711" max="8963" width="9.1796875" style="53"/>
    <col min="8964" max="8964" width="9" style="53" customWidth="1"/>
    <col min="8965" max="8965" width="11.54296875" style="53" customWidth="1"/>
    <col min="8966" max="8966" width="13" style="53" customWidth="1"/>
    <col min="8967" max="9219" width="9.1796875" style="53"/>
    <col min="9220" max="9220" width="9" style="53" customWidth="1"/>
    <col min="9221" max="9221" width="11.54296875" style="53" customWidth="1"/>
    <col min="9222" max="9222" width="13" style="53" customWidth="1"/>
    <col min="9223" max="9475" width="9.1796875" style="53"/>
    <col min="9476" max="9476" width="9" style="53" customWidth="1"/>
    <col min="9477" max="9477" width="11.54296875" style="53" customWidth="1"/>
    <col min="9478" max="9478" width="13" style="53" customWidth="1"/>
    <col min="9479" max="9731" width="9.1796875" style="53"/>
    <col min="9732" max="9732" width="9" style="53" customWidth="1"/>
    <col min="9733" max="9733" width="11.54296875" style="53" customWidth="1"/>
    <col min="9734" max="9734" width="13" style="53" customWidth="1"/>
    <col min="9735" max="9987" width="9.1796875" style="53"/>
    <col min="9988" max="9988" width="9" style="53" customWidth="1"/>
    <col min="9989" max="9989" width="11.54296875" style="53" customWidth="1"/>
    <col min="9990" max="9990" width="13" style="53" customWidth="1"/>
    <col min="9991" max="10243" width="9.1796875" style="53"/>
    <col min="10244" max="10244" width="9" style="53" customWidth="1"/>
    <col min="10245" max="10245" width="11.54296875" style="53" customWidth="1"/>
    <col min="10246" max="10246" width="13" style="53" customWidth="1"/>
    <col min="10247" max="10499" width="9.1796875" style="53"/>
    <col min="10500" max="10500" width="9" style="53" customWidth="1"/>
    <col min="10501" max="10501" width="11.54296875" style="53" customWidth="1"/>
    <col min="10502" max="10502" width="13" style="53" customWidth="1"/>
    <col min="10503" max="10755" width="9.1796875" style="53"/>
    <col min="10756" max="10756" width="9" style="53" customWidth="1"/>
    <col min="10757" max="10757" width="11.54296875" style="53" customWidth="1"/>
    <col min="10758" max="10758" width="13" style="53" customWidth="1"/>
    <col min="10759" max="11011" width="9.1796875" style="53"/>
    <col min="11012" max="11012" width="9" style="53" customWidth="1"/>
    <col min="11013" max="11013" width="11.54296875" style="53" customWidth="1"/>
    <col min="11014" max="11014" width="13" style="53" customWidth="1"/>
    <col min="11015" max="11267" width="9.1796875" style="53"/>
    <col min="11268" max="11268" width="9" style="53" customWidth="1"/>
    <col min="11269" max="11269" width="11.54296875" style="53" customWidth="1"/>
    <col min="11270" max="11270" width="13" style="53" customWidth="1"/>
    <col min="11271" max="11523" width="9.1796875" style="53"/>
    <col min="11524" max="11524" width="9" style="53" customWidth="1"/>
    <col min="11525" max="11525" width="11.54296875" style="53" customWidth="1"/>
    <col min="11526" max="11526" width="13" style="53" customWidth="1"/>
    <col min="11527" max="11779" width="9.1796875" style="53"/>
    <col min="11780" max="11780" width="9" style="53" customWidth="1"/>
    <col min="11781" max="11781" width="11.54296875" style="53" customWidth="1"/>
    <col min="11782" max="11782" width="13" style="53" customWidth="1"/>
    <col min="11783" max="12035" width="9.1796875" style="53"/>
    <col min="12036" max="12036" width="9" style="53" customWidth="1"/>
    <col min="12037" max="12037" width="11.54296875" style="53" customWidth="1"/>
    <col min="12038" max="12038" width="13" style="53" customWidth="1"/>
    <col min="12039" max="12291" width="9.1796875" style="53"/>
    <col min="12292" max="12292" width="9" style="53" customWidth="1"/>
    <col min="12293" max="12293" width="11.54296875" style="53" customWidth="1"/>
    <col min="12294" max="12294" width="13" style="53" customWidth="1"/>
    <col min="12295" max="12547" width="9.1796875" style="53"/>
    <col min="12548" max="12548" width="9" style="53" customWidth="1"/>
    <col min="12549" max="12549" width="11.54296875" style="53" customWidth="1"/>
    <col min="12550" max="12550" width="13" style="53" customWidth="1"/>
    <col min="12551" max="12803" width="9.1796875" style="53"/>
    <col min="12804" max="12804" width="9" style="53" customWidth="1"/>
    <col min="12805" max="12805" width="11.54296875" style="53" customWidth="1"/>
    <col min="12806" max="12806" width="13" style="53" customWidth="1"/>
    <col min="12807" max="13059" width="9.1796875" style="53"/>
    <col min="13060" max="13060" width="9" style="53" customWidth="1"/>
    <col min="13061" max="13061" width="11.54296875" style="53" customWidth="1"/>
    <col min="13062" max="13062" width="13" style="53" customWidth="1"/>
    <col min="13063" max="13315" width="9.1796875" style="53"/>
    <col min="13316" max="13316" width="9" style="53" customWidth="1"/>
    <col min="13317" max="13317" width="11.54296875" style="53" customWidth="1"/>
    <col min="13318" max="13318" width="13" style="53" customWidth="1"/>
    <col min="13319" max="13571" width="9.1796875" style="53"/>
    <col min="13572" max="13572" width="9" style="53" customWidth="1"/>
    <col min="13573" max="13573" width="11.54296875" style="53" customWidth="1"/>
    <col min="13574" max="13574" width="13" style="53" customWidth="1"/>
    <col min="13575" max="13827" width="9.1796875" style="53"/>
    <col min="13828" max="13828" width="9" style="53" customWidth="1"/>
    <col min="13829" max="13829" width="11.54296875" style="53" customWidth="1"/>
    <col min="13830" max="13830" width="13" style="53" customWidth="1"/>
    <col min="13831" max="14083" width="9.1796875" style="53"/>
    <col min="14084" max="14084" width="9" style="53" customWidth="1"/>
    <col min="14085" max="14085" width="11.54296875" style="53" customWidth="1"/>
    <col min="14086" max="14086" width="13" style="53" customWidth="1"/>
    <col min="14087" max="14339" width="9.1796875" style="53"/>
    <col min="14340" max="14340" width="9" style="53" customWidth="1"/>
    <col min="14341" max="14341" width="11.54296875" style="53" customWidth="1"/>
    <col min="14342" max="14342" width="13" style="53" customWidth="1"/>
    <col min="14343" max="14595" width="9.1796875" style="53"/>
    <col min="14596" max="14596" width="9" style="53" customWidth="1"/>
    <col min="14597" max="14597" width="11.54296875" style="53" customWidth="1"/>
    <col min="14598" max="14598" width="13" style="53" customWidth="1"/>
    <col min="14599" max="14851" width="9.1796875" style="53"/>
    <col min="14852" max="14852" width="9" style="53" customWidth="1"/>
    <col min="14853" max="14853" width="11.54296875" style="53" customWidth="1"/>
    <col min="14854" max="14854" width="13" style="53" customWidth="1"/>
    <col min="14855" max="15107" width="9.1796875" style="53"/>
    <col min="15108" max="15108" width="9" style="53" customWidth="1"/>
    <col min="15109" max="15109" width="11.54296875" style="53" customWidth="1"/>
    <col min="15110" max="15110" width="13" style="53" customWidth="1"/>
    <col min="15111" max="15363" width="9.1796875" style="53"/>
    <col min="15364" max="15364" width="9" style="53" customWidth="1"/>
    <col min="15365" max="15365" width="11.54296875" style="53" customWidth="1"/>
    <col min="15366" max="15366" width="13" style="53" customWidth="1"/>
    <col min="15367" max="15619" width="9.1796875" style="53"/>
    <col min="15620" max="15620" width="9" style="53" customWidth="1"/>
    <col min="15621" max="15621" width="11.54296875" style="53" customWidth="1"/>
    <col min="15622" max="15622" width="13" style="53" customWidth="1"/>
    <col min="15623" max="15875" width="9.1796875" style="53"/>
    <col min="15876" max="15876" width="9" style="53" customWidth="1"/>
    <col min="15877" max="15877" width="11.54296875" style="53" customWidth="1"/>
    <col min="15878" max="15878" width="13" style="53" customWidth="1"/>
    <col min="15879" max="16131" width="9.1796875" style="53"/>
    <col min="16132" max="16132" width="9" style="53" customWidth="1"/>
    <col min="16133" max="16133" width="11.54296875" style="53" customWidth="1"/>
    <col min="16134" max="16134" width="13" style="53" customWidth="1"/>
    <col min="16135" max="16384" width="9.1796875" style="53"/>
  </cols>
  <sheetData>
    <row r="3" spans="1:6" ht="18">
      <c r="C3" s="55" t="s">
        <v>48</v>
      </c>
    </row>
    <row r="4" spans="1:6" s="54" customFormat="1" ht="30" customHeight="1">
      <c r="C4" s="136"/>
      <c r="D4" s="58" t="s">
        <v>28</v>
      </c>
      <c r="E4" s="59" t="s">
        <v>29</v>
      </c>
      <c r="F4" s="59" t="str">
        <f>CONCATENATE("Change to ",TEXT(C6,"mmm-yy"))</f>
        <v>Change to Apr-26</v>
      </c>
    </row>
    <row r="5" spans="1:6" s="54" customFormat="1" ht="30" customHeight="1">
      <c r="C5" s="137"/>
      <c r="D5" s="60" t="s">
        <v>4</v>
      </c>
      <c r="E5" s="61" t="s">
        <v>30</v>
      </c>
      <c r="F5" s="61" t="s">
        <v>47</v>
      </c>
    </row>
    <row r="6" spans="1:6" s="54" customFormat="1" ht="30" customHeight="1">
      <c r="A6" s="57"/>
      <c r="B6" s="118"/>
      <c r="C6" s="62">
        <v>46113</v>
      </c>
      <c r="D6" s="106">
        <f>VLOOKUP($C6,'Cream income'!$B:$K,2,FALSE)</f>
        <v>1238</v>
      </c>
      <c r="E6" s="107">
        <f>VLOOKUP($C6,'Cream income'!$B:$K,3,FALSE)</f>
        <v>7.0760493444459938</v>
      </c>
      <c r="F6" s="108"/>
    </row>
    <row r="7" spans="1:6" s="54" customFormat="1" ht="30" customHeight="1">
      <c r="C7" s="63">
        <f>EDATE(C6,-1)</f>
        <v>46082</v>
      </c>
      <c r="D7" s="109">
        <f>VLOOKUP($C7,'Cream income'!$B:$K,2,FALSE)</f>
        <v>1556</v>
      </c>
      <c r="E7" s="110">
        <f>VLOOKUP($C7,'Cream income'!$B:$K,3,FALSE)</f>
        <v>8.8923689519813198</v>
      </c>
      <c r="F7" s="111">
        <f>($E$6-E7)/E7</f>
        <v>-0.204255988178564</v>
      </c>
    </row>
    <row r="8" spans="1:6" s="54" customFormat="1" ht="30" customHeight="1">
      <c r="C8" s="62">
        <f>EDATE(C6,-12)</f>
        <v>45748</v>
      </c>
      <c r="D8" s="106">
        <f>VLOOKUP($C8,'Cream income'!$B:$K,2,FALSE)</f>
        <v>2625</v>
      </c>
      <c r="E8" s="107">
        <f>VLOOKUP($C8,'Cream income'!$B:$K,3,FALSE)</f>
        <v>14.837302078729778</v>
      </c>
      <c r="F8" s="112">
        <f>($E$6-E8)/E8</f>
        <v>-0.52309056546136079</v>
      </c>
    </row>
    <row r="9" spans="1:6" ht="15.5">
      <c r="C9" s="56" t="s">
        <v>46</v>
      </c>
    </row>
    <row r="10" spans="1:6">
      <c r="C10" s="52"/>
    </row>
  </sheetData>
  <mergeCells count="1">
    <mergeCell ref="C4:C5"/>
  </mergeCells>
  <pageMargins left="0.7" right="0.7" top="0.75" bottom="0.75" header="0.3" footer="0.3"/>
  <pageSetup paperSize="9" orientation="portrait" r:id="rId1"/>
  <headerFooter>
    <oddHeader>&amp;C&amp;"Aptos"&amp;12&amp;K000000 OFFICIAL&amp;1#_x000D_</oddHead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174"/>
  <sheetViews>
    <sheetView zoomScaleNormal="100" workbookViewId="0">
      <pane xSplit="1" ySplit="2" topLeftCell="B162" activePane="bottomRight" state="frozen"/>
      <selection activeCell="I153" sqref="I153"/>
      <selection pane="topRight" activeCell="I153" sqref="I153"/>
      <selection pane="bottomLeft" activeCell="I153" sqref="I153"/>
      <selection pane="bottomRight" activeCell="C174" sqref="C174"/>
    </sheetView>
  </sheetViews>
  <sheetFormatPr defaultRowHeight="12.5"/>
  <cols>
    <col min="1" max="1" width="12.1796875" customWidth="1"/>
    <col min="2" max="2" width="12.54296875" style="10" customWidth="1"/>
    <col min="3" max="3" width="11.54296875" style="11" customWidth="1"/>
    <col min="4" max="4" width="5" customWidth="1"/>
    <col min="5" max="5" width="13.81640625" style="3" customWidth="1"/>
    <col min="6" max="6" width="12.1796875" style="3" customWidth="1"/>
    <col min="7" max="7" width="12.81640625" style="3" customWidth="1"/>
    <col min="8" max="8" width="11.81640625" customWidth="1"/>
    <col min="9" max="9" width="9.1796875" customWidth="1"/>
    <col min="11" max="11" width="11.81640625" customWidth="1"/>
  </cols>
  <sheetData>
    <row r="1" spans="1:13" s="12" customFormat="1" ht="26">
      <c r="A1" s="138" t="s">
        <v>3</v>
      </c>
      <c r="B1" s="114" t="s">
        <v>4</v>
      </c>
      <c r="C1" s="140" t="s">
        <v>5</v>
      </c>
      <c r="E1" s="13" t="s">
        <v>15</v>
      </c>
      <c r="F1" s="14" t="s">
        <v>16</v>
      </c>
      <c r="G1" s="142" t="s">
        <v>17</v>
      </c>
      <c r="H1" s="12" t="s">
        <v>10</v>
      </c>
      <c r="I1" s="116" t="s">
        <v>59</v>
      </c>
    </row>
    <row r="2" spans="1:13" s="12" customFormat="1" ht="39">
      <c r="A2" s="139"/>
      <c r="B2" s="115" t="s">
        <v>61</v>
      </c>
      <c r="C2" s="141"/>
      <c r="E2" s="13" t="s">
        <v>68</v>
      </c>
      <c r="F2" s="15" t="s">
        <v>19</v>
      </c>
      <c r="G2" s="142"/>
      <c r="H2" s="12" t="s">
        <v>11</v>
      </c>
      <c r="I2" s="116" t="s">
        <v>60</v>
      </c>
    </row>
    <row r="3" spans="1:13">
      <c r="A3" s="33">
        <v>40909</v>
      </c>
      <c r="B3" s="34">
        <v>1230</v>
      </c>
      <c r="C3" s="35">
        <f t="shared" ref="C3:C34" si="0">((B3/1000)*H3)*100</f>
        <v>7.1072279998874981</v>
      </c>
      <c r="D3" s="25"/>
      <c r="E3" s="36">
        <f>VLOOKUP(A3,'Retail weightings - HIDE'!$B$3:$D$51,2,TRUE)</f>
        <v>1.80535</v>
      </c>
      <c r="F3" s="36">
        <v>4.1399999999999997</v>
      </c>
      <c r="G3" s="36">
        <v>4.05</v>
      </c>
      <c r="H3" s="37">
        <f t="shared" ref="H3:H50" si="1">(G3-E3)*1.02969/0.4/100</f>
        <v>5.7782341462499991E-2</v>
      </c>
      <c r="K3" s="1"/>
      <c r="L3" s="1"/>
      <c r="M3" s="48"/>
    </row>
    <row r="4" spans="1:13">
      <c r="A4" s="33">
        <v>40940</v>
      </c>
      <c r="B4" s="34">
        <v>1180</v>
      </c>
      <c r="C4" s="35">
        <f t="shared" si="0"/>
        <v>6.8537547900750022</v>
      </c>
      <c r="D4" s="25"/>
      <c r="E4" s="36">
        <f>VLOOKUP(A4,'Retail weightings - HIDE'!$B$3:$D$51,2,TRUE)</f>
        <v>1.80535</v>
      </c>
      <c r="F4" s="36">
        <v>4.13</v>
      </c>
      <c r="G4" s="36">
        <v>4.0616666666666674</v>
      </c>
      <c r="H4" s="37">
        <f t="shared" si="1"/>
        <v>5.8082667712500022E-2</v>
      </c>
      <c r="K4" s="1"/>
      <c r="L4" s="1"/>
      <c r="M4" s="48"/>
    </row>
    <row r="5" spans="1:13">
      <c r="A5" s="33">
        <v>40969</v>
      </c>
      <c r="B5" s="34">
        <v>1080</v>
      </c>
      <c r="C5" s="35">
        <f t="shared" si="0"/>
        <v>6.2775617179500003</v>
      </c>
      <c r="D5" s="25"/>
      <c r="E5" s="36">
        <f>VLOOKUP(A5,'Retail weightings - HIDE'!$B$3:$D$51,2,TRUE)</f>
        <v>1.80535</v>
      </c>
      <c r="F5" s="36">
        <v>4.0999999999999996</v>
      </c>
      <c r="G5" s="36">
        <v>4.0633333333333335</v>
      </c>
      <c r="H5" s="37">
        <f t="shared" si="1"/>
        <v>5.8125571462499998E-2</v>
      </c>
      <c r="K5" s="1"/>
      <c r="L5" s="1"/>
      <c r="M5" s="48"/>
    </row>
    <row r="6" spans="1:13">
      <c r="A6" s="33">
        <v>41000</v>
      </c>
      <c r="B6" s="34">
        <v>840</v>
      </c>
      <c r="C6" s="35">
        <f t="shared" si="0"/>
        <v>4.8897558328500024</v>
      </c>
      <c r="D6" s="25"/>
      <c r="E6" s="36">
        <f>VLOOKUP(A6,'Retail weightings - HIDE'!$B$3:$D$51,2,TRUE)</f>
        <v>1.80535</v>
      </c>
      <c r="F6" s="36">
        <v>4.0599999999999996</v>
      </c>
      <c r="G6" s="36">
        <v>4.0666666666666673</v>
      </c>
      <c r="H6" s="37">
        <f t="shared" si="1"/>
        <v>5.8211378962500025E-2</v>
      </c>
      <c r="K6" s="1"/>
      <c r="L6" s="1"/>
      <c r="M6" s="48"/>
    </row>
    <row r="7" spans="1:13">
      <c r="A7" s="33">
        <v>41030</v>
      </c>
      <c r="B7" s="34">
        <v>940</v>
      </c>
      <c r="C7" s="35">
        <f t="shared" si="0"/>
        <v>5.4859849562250016</v>
      </c>
      <c r="D7" s="25"/>
      <c r="E7" s="36">
        <f>VLOOKUP(A7,'Retail weightings - HIDE'!$B$3:$D$51,2,TRUE)</f>
        <v>1.80535</v>
      </c>
      <c r="F7" s="36">
        <v>3.97</v>
      </c>
      <c r="G7" s="36">
        <v>4.0725000000000007</v>
      </c>
      <c r="H7" s="37">
        <f t="shared" si="1"/>
        <v>5.8361542087500017E-2</v>
      </c>
      <c r="K7" s="1"/>
      <c r="L7" s="1"/>
      <c r="M7" s="48"/>
    </row>
    <row r="8" spans="1:13">
      <c r="A8" s="33">
        <v>41061</v>
      </c>
      <c r="B8" s="34">
        <v>1020</v>
      </c>
      <c r="C8" s="35">
        <f t="shared" si="0"/>
        <v>5.9506892016749999</v>
      </c>
      <c r="D8" s="25"/>
      <c r="E8" s="36">
        <f>VLOOKUP(A8,'Retail weightings - HIDE'!$B$3:$D$51,2,TRUE)</f>
        <v>1.80535</v>
      </c>
      <c r="F8" s="36">
        <v>3.93</v>
      </c>
      <c r="G8" s="36">
        <v>4.0716666666666663</v>
      </c>
      <c r="H8" s="37">
        <f t="shared" si="1"/>
        <v>5.8340090212499994E-2</v>
      </c>
      <c r="K8" s="1"/>
      <c r="L8" s="1"/>
      <c r="M8" s="48"/>
    </row>
    <row r="9" spans="1:13">
      <c r="A9" s="33">
        <v>41091</v>
      </c>
      <c r="B9" s="34">
        <v>1000</v>
      </c>
      <c r="C9" s="35">
        <f t="shared" si="0"/>
        <v>5.8382993962500001</v>
      </c>
      <c r="D9" s="25"/>
      <c r="E9" s="36">
        <f>VLOOKUP(A9,'Retail weightings - HIDE'!$B$3:$D$51,2,TRUE)</f>
        <v>1.80535</v>
      </c>
      <c r="F9" s="36">
        <v>3.94</v>
      </c>
      <c r="G9" s="36">
        <v>4.0733333333333333</v>
      </c>
      <c r="H9" s="37">
        <f t="shared" si="1"/>
        <v>5.8382993962499997E-2</v>
      </c>
      <c r="K9" s="1"/>
      <c r="L9" s="1"/>
      <c r="M9" s="48"/>
    </row>
    <row r="10" spans="1:13">
      <c r="A10" s="33">
        <v>41122</v>
      </c>
      <c r="B10" s="34">
        <v>1100</v>
      </c>
      <c r="C10" s="35">
        <f t="shared" si="0"/>
        <v>6.4221293358749998</v>
      </c>
      <c r="D10" s="25"/>
      <c r="E10" s="36">
        <f>VLOOKUP(A10,'Retail weightings - HIDE'!$B$3:$D$51,2,TRUE)</f>
        <v>1.80535</v>
      </c>
      <c r="F10" s="36">
        <v>4</v>
      </c>
      <c r="G10" s="36">
        <v>4.0733333333333333</v>
      </c>
      <c r="H10" s="37">
        <f t="shared" si="1"/>
        <v>5.8382993962499997E-2</v>
      </c>
      <c r="K10" s="1"/>
      <c r="L10" s="1"/>
      <c r="M10" s="48"/>
    </row>
    <row r="11" spans="1:13">
      <c r="A11" s="33">
        <v>41153</v>
      </c>
      <c r="B11" s="34">
        <v>1250</v>
      </c>
      <c r="C11" s="35">
        <f t="shared" si="0"/>
        <v>7.3005557296874981</v>
      </c>
      <c r="D11" s="25"/>
      <c r="E11" s="36">
        <f>VLOOKUP(A11,'Retail weightings - HIDE'!$B$3:$D$51,2,TRUE)</f>
        <v>1.80535</v>
      </c>
      <c r="F11" s="36">
        <v>4.1100000000000003</v>
      </c>
      <c r="G11" s="36">
        <v>4.0741666666666658</v>
      </c>
      <c r="H11" s="37">
        <f t="shared" si="1"/>
        <v>5.8404445837499985E-2</v>
      </c>
      <c r="K11" s="1"/>
      <c r="L11" s="1"/>
      <c r="M11" s="48"/>
    </row>
    <row r="12" spans="1:13">
      <c r="A12" s="33">
        <v>41183</v>
      </c>
      <c r="B12" s="34">
        <v>1350</v>
      </c>
      <c r="C12" s="35">
        <f t="shared" si="0"/>
        <v>7.9019762068124999</v>
      </c>
      <c r="D12" s="25"/>
      <c r="E12" s="36">
        <f>VLOOKUP(A12,'Retail weightings - HIDE'!$B$3:$D$51,2,TRUE)</f>
        <v>1.80535</v>
      </c>
      <c r="F12" s="36">
        <v>4.1900000000000004</v>
      </c>
      <c r="G12" s="36">
        <v>4.0791666666666666</v>
      </c>
      <c r="H12" s="37">
        <f t="shared" si="1"/>
        <v>5.8533157087499996E-2</v>
      </c>
      <c r="K12" s="1"/>
      <c r="L12" s="1"/>
      <c r="M12" s="48"/>
    </row>
    <row r="13" spans="1:13">
      <c r="A13" s="33">
        <v>41214</v>
      </c>
      <c r="B13" s="34">
        <v>1480</v>
      </c>
      <c r="C13" s="35">
        <f t="shared" si="0"/>
        <v>8.6692570039500012</v>
      </c>
      <c r="D13" s="25"/>
      <c r="E13" s="36">
        <f>VLOOKUP(A13,'Retail weightings - HIDE'!$B$3:$D$51,2,TRUE)</f>
        <v>1.80535</v>
      </c>
      <c r="F13" s="36">
        <v>4.2</v>
      </c>
      <c r="G13" s="36">
        <v>4.0808333333333335</v>
      </c>
      <c r="H13" s="37">
        <f t="shared" si="1"/>
        <v>5.8576060837500006E-2</v>
      </c>
      <c r="K13" s="1"/>
      <c r="L13" s="1"/>
      <c r="M13" s="48"/>
    </row>
    <row r="14" spans="1:13">
      <c r="A14" s="33">
        <v>41244</v>
      </c>
      <c r="B14" s="34">
        <v>1410</v>
      </c>
      <c r="C14" s="35">
        <f t="shared" si="0"/>
        <v>8.2531751493374994</v>
      </c>
      <c r="D14" s="25"/>
      <c r="E14" s="36">
        <f>VLOOKUP(A14,'Retail weightings - HIDE'!$B$3:$D$51,2,TRUE)</f>
        <v>1.80535</v>
      </c>
      <c r="F14" s="36">
        <v>4.18</v>
      </c>
      <c r="G14" s="36">
        <f>AVERAGE(F3:F14)</f>
        <v>4.0791666666666666</v>
      </c>
      <c r="H14" s="37">
        <f t="shared" si="1"/>
        <v>5.8533157087499996E-2</v>
      </c>
      <c r="K14" s="1"/>
      <c r="L14" s="1"/>
      <c r="M14" s="48"/>
    </row>
    <row r="15" spans="1:13">
      <c r="A15" s="33">
        <v>41275</v>
      </c>
      <c r="B15" s="34">
        <v>1250</v>
      </c>
      <c r="C15" s="35">
        <f t="shared" si="0"/>
        <v>7.3086001828125022</v>
      </c>
      <c r="D15" s="25"/>
      <c r="E15" s="36">
        <f>VLOOKUP(A15,'Retail weightings - HIDE'!$B$3:$D$51,2,TRUE)</f>
        <v>1.80535</v>
      </c>
      <c r="F15" s="36">
        <v>4.1100000000000003</v>
      </c>
      <c r="G15" s="36">
        <f t="shared" ref="G15:G78" si="2">AVERAGE(F4:F15)</f>
        <v>4.0766666666666671</v>
      </c>
      <c r="H15" s="37">
        <f t="shared" si="1"/>
        <v>5.8468801462500018E-2</v>
      </c>
      <c r="K15" s="1"/>
      <c r="L15" s="1"/>
      <c r="M15" s="48"/>
    </row>
    <row r="16" spans="1:13">
      <c r="A16" s="33">
        <v>41306</v>
      </c>
      <c r="B16" s="34">
        <v>1300</v>
      </c>
      <c r="C16" s="35">
        <f t="shared" si="0"/>
        <v>7.600944190125003</v>
      </c>
      <c r="D16" s="25"/>
      <c r="E16" s="36">
        <f>VLOOKUP(A16,'Retail weightings - HIDE'!$B$3:$D$51,2,TRUE)</f>
        <v>1.80535</v>
      </c>
      <c r="F16" s="36">
        <v>4.13</v>
      </c>
      <c r="G16" s="36">
        <f t="shared" si="2"/>
        <v>4.0766666666666671</v>
      </c>
      <c r="H16" s="37">
        <f t="shared" si="1"/>
        <v>5.8468801462500018E-2</v>
      </c>
      <c r="K16" s="1"/>
      <c r="L16" s="1"/>
      <c r="M16" s="48"/>
    </row>
    <row r="17" spans="1:13">
      <c r="A17" s="33">
        <v>41334</v>
      </c>
      <c r="B17" s="34">
        <v>1350</v>
      </c>
      <c r="C17" s="35">
        <f t="shared" si="0"/>
        <v>7.9019762068124999</v>
      </c>
      <c r="D17" s="25"/>
      <c r="E17" s="36">
        <f>VLOOKUP(A17,'Retail weightings - HIDE'!$B$3:$D$51,2,TRUE)</f>
        <v>1.80535</v>
      </c>
      <c r="F17" s="36">
        <v>4.13</v>
      </c>
      <c r="G17" s="36">
        <f t="shared" si="2"/>
        <v>4.0791666666666666</v>
      </c>
      <c r="H17" s="37">
        <f t="shared" si="1"/>
        <v>5.8533157087499996E-2</v>
      </c>
      <c r="K17" s="1"/>
      <c r="L17" s="1"/>
      <c r="M17" s="48"/>
    </row>
    <row r="18" spans="1:13">
      <c r="A18" s="33">
        <v>41365</v>
      </c>
      <c r="B18" s="34">
        <v>1600</v>
      </c>
      <c r="C18" s="35">
        <f t="shared" si="0"/>
        <v>9.2299764096000008</v>
      </c>
      <c r="D18" s="25"/>
      <c r="E18" s="36">
        <f>VLOOKUP(A18,'Retail weightings - HIDE'!$B$3:$D$51,2,TRUE)</f>
        <v>1.8415400000000002</v>
      </c>
      <c r="F18" s="36">
        <v>4.0999999999999996</v>
      </c>
      <c r="G18" s="36">
        <f t="shared" si="2"/>
        <v>4.0825000000000005</v>
      </c>
      <c r="H18" s="37">
        <f t="shared" si="1"/>
        <v>5.7687352560000002E-2</v>
      </c>
      <c r="K18" s="1"/>
      <c r="L18" s="1"/>
      <c r="M18" s="48"/>
    </row>
    <row r="19" spans="1:13">
      <c r="A19" s="33">
        <v>41395</v>
      </c>
      <c r="B19" s="34">
        <v>1610</v>
      </c>
      <c r="C19" s="35">
        <f t="shared" si="0"/>
        <v>9.2669412509100013</v>
      </c>
      <c r="D19" s="25"/>
      <c r="E19" s="36">
        <f>VLOOKUP(A19,'Retail weightings - HIDE'!$B$3:$D$51,2,TRUE)</f>
        <v>1.8415400000000002</v>
      </c>
      <c r="F19" s="36">
        <v>3.91</v>
      </c>
      <c r="G19" s="36">
        <f t="shared" si="2"/>
        <v>4.0775000000000006</v>
      </c>
      <c r="H19" s="37">
        <f t="shared" si="1"/>
        <v>5.7558641310000012E-2</v>
      </c>
      <c r="K19" s="1"/>
      <c r="L19" s="1"/>
      <c r="M19" s="48"/>
    </row>
    <row r="20" spans="1:13">
      <c r="A20" s="33">
        <v>41426</v>
      </c>
      <c r="B20" s="34">
        <v>1690</v>
      </c>
      <c r="C20" s="35">
        <f t="shared" si="0"/>
        <v>9.694782079514999</v>
      </c>
      <c r="D20" s="25"/>
      <c r="E20" s="36">
        <f>VLOOKUP(A20,'Retail weightings - HIDE'!$B$3:$D$51,2,TRUE)</f>
        <v>1.8415400000000002</v>
      </c>
      <c r="F20" s="36">
        <v>3.84</v>
      </c>
      <c r="G20" s="36">
        <f t="shared" si="2"/>
        <v>4.07</v>
      </c>
      <c r="H20" s="37">
        <f t="shared" si="1"/>
        <v>5.7365574434999997E-2</v>
      </c>
      <c r="K20" s="1"/>
      <c r="L20" s="1"/>
      <c r="M20" s="48"/>
    </row>
    <row r="21" spans="1:13">
      <c r="A21" s="33">
        <v>41456</v>
      </c>
      <c r="B21" s="34">
        <v>1690</v>
      </c>
      <c r="C21" s="35">
        <f t="shared" si="0"/>
        <v>9.6512776770150008</v>
      </c>
      <c r="D21" s="25"/>
      <c r="E21" s="36">
        <f>VLOOKUP(A21,'Retail weightings - HIDE'!$B$3:$D$51,2,TRUE)</f>
        <v>1.8415400000000002</v>
      </c>
      <c r="F21" s="36">
        <v>3.82</v>
      </c>
      <c r="G21" s="36">
        <f t="shared" si="2"/>
        <v>4.0600000000000005</v>
      </c>
      <c r="H21" s="37">
        <f t="shared" si="1"/>
        <v>5.7108151935000004E-2</v>
      </c>
      <c r="K21" s="1"/>
      <c r="L21" s="1"/>
      <c r="M21" s="48"/>
    </row>
    <row r="22" spans="1:13">
      <c r="A22" s="33">
        <v>41487</v>
      </c>
      <c r="B22" s="34">
        <v>1720</v>
      </c>
      <c r="C22" s="35">
        <f t="shared" si="0"/>
        <v>9.7930843528199993</v>
      </c>
      <c r="D22" s="25"/>
      <c r="E22" s="36">
        <f>VLOOKUP(A22,'Retail weightings - HIDE'!$B$3:$D$51,2,TRUE)</f>
        <v>1.8415400000000002</v>
      </c>
      <c r="F22" s="36">
        <v>3.92</v>
      </c>
      <c r="G22" s="36">
        <f t="shared" si="2"/>
        <v>4.0533333333333337</v>
      </c>
      <c r="H22" s="37">
        <f t="shared" si="1"/>
        <v>5.6936536934999997E-2</v>
      </c>
      <c r="K22" s="1"/>
      <c r="L22" s="1"/>
      <c r="M22" s="48"/>
    </row>
    <row r="23" spans="1:13">
      <c r="A23" s="33">
        <v>41518</v>
      </c>
      <c r="B23" s="34">
        <v>1740</v>
      </c>
      <c r="C23" s="35">
        <f t="shared" si="0"/>
        <v>9.8882942954400015</v>
      </c>
      <c r="D23" s="25"/>
      <c r="E23" s="36">
        <f>VLOOKUP(A23,'Retail weightings - HIDE'!$B$3:$D$51,2,TRUE)</f>
        <v>1.8415400000000002</v>
      </c>
      <c r="F23" s="36">
        <v>4.0599999999999996</v>
      </c>
      <c r="G23" s="36">
        <f t="shared" si="2"/>
        <v>4.0491666666666672</v>
      </c>
      <c r="H23" s="37">
        <f t="shared" si="1"/>
        <v>5.6829277560000009E-2</v>
      </c>
      <c r="K23" s="1"/>
      <c r="L23" s="1"/>
      <c r="M23" s="48"/>
    </row>
    <row r="24" spans="1:13">
      <c r="A24" s="33">
        <v>41548</v>
      </c>
      <c r="B24" s="34">
        <v>1700</v>
      </c>
      <c r="C24" s="35">
        <f t="shared" si="0"/>
        <v>9.6208621789499986</v>
      </c>
      <c r="D24" s="25"/>
      <c r="E24" s="36">
        <f>VLOOKUP(A24,'Retail weightings - HIDE'!$B$3:$D$51,2,TRUE)</f>
        <v>1.8415400000000002</v>
      </c>
      <c r="F24" s="36">
        <v>4.08</v>
      </c>
      <c r="G24" s="36">
        <f t="shared" si="2"/>
        <v>4.04</v>
      </c>
      <c r="H24" s="37">
        <f t="shared" si="1"/>
        <v>5.6593306934999997E-2</v>
      </c>
      <c r="K24" s="1"/>
      <c r="L24" s="1"/>
      <c r="M24" s="48"/>
    </row>
    <row r="25" spans="1:13">
      <c r="A25" s="33">
        <v>41579</v>
      </c>
      <c r="B25" s="34">
        <v>1750</v>
      </c>
      <c r="C25" s="35">
        <f t="shared" si="0"/>
        <v>9.8963205573749971</v>
      </c>
      <c r="D25" s="25"/>
      <c r="E25" s="36">
        <f>VLOOKUP(A25,'Retail weightings - HIDE'!$B$3:$D$51,2,TRUE)</f>
        <v>1.8415400000000002</v>
      </c>
      <c r="F25" s="36">
        <v>4.18</v>
      </c>
      <c r="G25" s="36">
        <f t="shared" si="2"/>
        <v>4.0383333333333331</v>
      </c>
      <c r="H25" s="37">
        <f t="shared" si="1"/>
        <v>5.6550403184999987E-2</v>
      </c>
      <c r="K25" s="1"/>
      <c r="L25" s="1"/>
      <c r="M25" s="48"/>
    </row>
    <row r="26" spans="1:13">
      <c r="A26" s="33">
        <v>41609</v>
      </c>
      <c r="B26" s="34">
        <v>1650</v>
      </c>
      <c r="C26" s="35">
        <f t="shared" si="0"/>
        <v>9.3095791692749987</v>
      </c>
      <c r="D26" s="25"/>
      <c r="E26" s="36">
        <f>VLOOKUP(A26,'Retail weightings - HIDE'!$B$3:$D$51,2,TRUE)</f>
        <v>1.8415400000000002</v>
      </c>
      <c r="F26" s="36">
        <v>4.12</v>
      </c>
      <c r="G26" s="36">
        <f t="shared" si="2"/>
        <v>4.0333333333333332</v>
      </c>
      <c r="H26" s="37">
        <f t="shared" si="1"/>
        <v>5.642169193499999E-2</v>
      </c>
      <c r="K26" s="1"/>
      <c r="L26" s="1"/>
      <c r="M26" s="48"/>
    </row>
    <row r="27" spans="1:13">
      <c r="A27" s="33">
        <v>41640</v>
      </c>
      <c r="B27" s="34">
        <v>1500</v>
      </c>
      <c r="C27" s="35">
        <f t="shared" si="0"/>
        <v>8.4503826652500003</v>
      </c>
      <c r="D27" s="25"/>
      <c r="E27" s="36">
        <f>VLOOKUP(A27,'Retail weightings - HIDE'!$B$3:$D$51,2,TRUE)</f>
        <v>1.8415400000000002</v>
      </c>
      <c r="F27" s="36">
        <v>4.07</v>
      </c>
      <c r="G27" s="36">
        <f t="shared" si="2"/>
        <v>4.03</v>
      </c>
      <c r="H27" s="37">
        <f t="shared" si="1"/>
        <v>5.6335884434999997E-2</v>
      </c>
      <c r="K27" s="1"/>
      <c r="L27" s="1"/>
      <c r="M27" s="48"/>
    </row>
    <row r="28" spans="1:13">
      <c r="A28" s="33">
        <v>41671</v>
      </c>
      <c r="B28" s="34">
        <v>1330</v>
      </c>
      <c r="C28" s="35">
        <f t="shared" si="0"/>
        <v>7.4755540336049977</v>
      </c>
      <c r="D28" s="25"/>
      <c r="E28" s="36">
        <f>VLOOKUP(A28,'Retail weightings - HIDE'!$B$3:$D$51,2,TRUE)</f>
        <v>1.8415400000000002</v>
      </c>
      <c r="F28" s="36">
        <v>4.07</v>
      </c>
      <c r="G28" s="36">
        <f t="shared" si="2"/>
        <v>4.0249999999999995</v>
      </c>
      <c r="H28" s="37">
        <f t="shared" si="1"/>
        <v>5.620717318499998E-2</v>
      </c>
      <c r="K28" s="1"/>
      <c r="L28" s="1"/>
      <c r="M28" s="48"/>
    </row>
    <row r="29" spans="1:13">
      <c r="A29" s="33">
        <v>41699</v>
      </c>
      <c r="B29" s="34">
        <v>1380</v>
      </c>
      <c r="C29" s="35">
        <f t="shared" si="0"/>
        <v>7.7358673882799964</v>
      </c>
      <c r="D29" s="25"/>
      <c r="E29" s="36">
        <f>VLOOKUP(A29,'Retail weightings - HIDE'!$B$3:$D$51,2,TRUE)</f>
        <v>1.8415400000000002</v>
      </c>
      <c r="F29" s="36">
        <v>4.0599999999999996</v>
      </c>
      <c r="G29" s="36">
        <f t="shared" si="2"/>
        <v>4.0191666666666661</v>
      </c>
      <c r="H29" s="37">
        <f t="shared" si="1"/>
        <v>5.6057010059999975E-2</v>
      </c>
      <c r="K29" s="1"/>
      <c r="L29" s="1"/>
      <c r="M29" s="48"/>
    </row>
    <row r="30" spans="1:13">
      <c r="A30" s="33">
        <v>41730</v>
      </c>
      <c r="B30" s="34">
        <v>1340</v>
      </c>
      <c r="C30" s="35">
        <f t="shared" si="0"/>
        <v>7.4990628994263524</v>
      </c>
      <c r="D30" s="25"/>
      <c r="E30" s="36">
        <f>VLOOKUP(A30,'Retail weightings - HIDE'!$B$3:$D$51,2,TRUE)</f>
        <v>1.8376859165042569</v>
      </c>
      <c r="F30" s="36">
        <v>4.01</v>
      </c>
      <c r="G30" s="36">
        <f t="shared" si="2"/>
        <v>4.0116666666666667</v>
      </c>
      <c r="H30" s="37">
        <f t="shared" si="1"/>
        <v>5.5963155965868296E-2</v>
      </c>
      <c r="K30" s="1"/>
      <c r="L30" s="1"/>
      <c r="M30" s="48"/>
    </row>
    <row r="31" spans="1:13">
      <c r="A31" s="33">
        <v>41760</v>
      </c>
      <c r="B31" s="34">
        <v>1290</v>
      </c>
      <c r="C31" s="35">
        <f t="shared" si="0"/>
        <v>7.2164798277220097</v>
      </c>
      <c r="D31" s="25"/>
      <c r="E31" s="36">
        <f>VLOOKUP(A31,'Retail weightings - HIDE'!$B$3:$D$51,2,TRUE)</f>
        <v>1.8376859165042569</v>
      </c>
      <c r="F31" s="36">
        <v>3.9</v>
      </c>
      <c r="G31" s="36">
        <f t="shared" si="2"/>
        <v>4.0108333333333333</v>
      </c>
      <c r="H31" s="37">
        <f t="shared" si="1"/>
        <v>5.5941704090868294E-2</v>
      </c>
      <c r="K31" s="1"/>
      <c r="L31" s="1"/>
      <c r="M31" s="48"/>
    </row>
    <row r="32" spans="1:13">
      <c r="A32" s="33">
        <v>41791</v>
      </c>
      <c r="B32" s="34">
        <v>1400</v>
      </c>
      <c r="C32" s="35">
        <f t="shared" si="0"/>
        <v>7.8318385727215638</v>
      </c>
      <c r="D32" s="25"/>
      <c r="E32" s="36">
        <f>VLOOKUP(A32,'Retail weightings - HIDE'!$B$3:$D$51,2,TRUE)</f>
        <v>1.8376859165042569</v>
      </c>
      <c r="F32" s="36">
        <v>3.84</v>
      </c>
      <c r="G32" s="36">
        <f t="shared" si="2"/>
        <v>4.0108333333333341</v>
      </c>
      <c r="H32" s="37">
        <f t="shared" si="1"/>
        <v>5.5941704090868315E-2</v>
      </c>
      <c r="K32" s="1"/>
      <c r="L32" s="1"/>
      <c r="M32" s="48"/>
    </row>
    <row r="33" spans="1:13">
      <c r="A33" s="33">
        <v>41821</v>
      </c>
      <c r="B33" s="34">
        <v>1380</v>
      </c>
      <c r="C33" s="35">
        <f t="shared" si="0"/>
        <v>7.7258758820398246</v>
      </c>
      <c r="D33" s="25"/>
      <c r="E33" s="36">
        <f>VLOOKUP(A33,'Retail weightings - HIDE'!$B$3:$D$51,2,TRUE)</f>
        <v>1.8376859165042569</v>
      </c>
      <c r="F33" s="36">
        <v>3.84</v>
      </c>
      <c r="G33" s="36">
        <f t="shared" si="2"/>
        <v>4.0125000000000002</v>
      </c>
      <c r="H33" s="37">
        <f t="shared" si="1"/>
        <v>5.5984607840868297E-2</v>
      </c>
      <c r="K33" s="1"/>
      <c r="L33" s="1"/>
      <c r="M33" s="48"/>
    </row>
    <row r="34" spans="1:13">
      <c r="A34" s="33">
        <v>41852</v>
      </c>
      <c r="B34" s="34">
        <v>1200</v>
      </c>
      <c r="C34" s="35">
        <f t="shared" si="0"/>
        <v>6.7181529409041953</v>
      </c>
      <c r="D34" s="25"/>
      <c r="E34" s="36">
        <f>VLOOKUP(A34,'Retail weightings - HIDE'!$B$3:$D$51,2,TRUE)</f>
        <v>1.8376859165042569</v>
      </c>
      <c r="F34" s="36">
        <v>3.92</v>
      </c>
      <c r="G34" s="36">
        <f t="shared" si="2"/>
        <v>4.0125000000000002</v>
      </c>
      <c r="H34" s="37">
        <f t="shared" si="1"/>
        <v>5.5984607840868297E-2</v>
      </c>
      <c r="K34" s="1"/>
      <c r="L34" s="1"/>
      <c r="M34" s="48"/>
    </row>
    <row r="35" spans="1:13">
      <c r="A35" s="33">
        <v>41883</v>
      </c>
      <c r="B35" s="34">
        <v>1120</v>
      </c>
      <c r="C35" s="35">
        <f t="shared" ref="C35:C66" si="3">((B35/1000)*H35)*100</f>
        <v>6.248652588177249</v>
      </c>
      <c r="D35" s="25"/>
      <c r="E35" s="36">
        <f>VLOOKUP(A35,'Retail weightings - HIDE'!$B$3:$D$51,2,TRUE)</f>
        <v>1.8376859165042569</v>
      </c>
      <c r="F35" s="36">
        <v>3.97</v>
      </c>
      <c r="G35" s="36">
        <f t="shared" si="2"/>
        <v>4.0049999999999999</v>
      </c>
      <c r="H35" s="37">
        <f t="shared" si="1"/>
        <v>5.5791540965868289E-2</v>
      </c>
      <c r="K35" s="1"/>
      <c r="L35" s="1"/>
      <c r="M35" s="48"/>
    </row>
    <row r="36" spans="1:13">
      <c r="A36" s="33">
        <v>41913</v>
      </c>
      <c r="B36" s="34">
        <v>1150</v>
      </c>
      <c r="C36" s="35">
        <f t="shared" si="3"/>
        <v>6.4160272110748524</v>
      </c>
      <c r="D36" s="25"/>
      <c r="E36" s="36">
        <f>VLOOKUP(A36,'Retail weightings - HIDE'!$B$3:$D$51,2,TRUE)</f>
        <v>1.8376859165042569</v>
      </c>
      <c r="F36" s="36">
        <v>4.08</v>
      </c>
      <c r="G36" s="36">
        <f t="shared" si="2"/>
        <v>4.0049999999999999</v>
      </c>
      <c r="H36" s="37">
        <f t="shared" si="1"/>
        <v>5.5791540965868289E-2</v>
      </c>
      <c r="K36" s="1"/>
      <c r="L36" s="1"/>
      <c r="M36" s="48"/>
    </row>
    <row r="37" spans="1:13">
      <c r="A37" s="33">
        <v>41944</v>
      </c>
      <c r="B37" s="34">
        <v>1170</v>
      </c>
      <c r="C37" s="35">
        <f t="shared" si="3"/>
        <v>6.5100412073815868</v>
      </c>
      <c r="D37" s="25"/>
      <c r="E37" s="36">
        <f>VLOOKUP(A37,'Retail weightings - HIDE'!$B$3:$D$51,2,TRUE)</f>
        <v>1.8376859165042569</v>
      </c>
      <c r="F37" s="36">
        <v>4.1100000000000003</v>
      </c>
      <c r="G37" s="36">
        <f t="shared" si="2"/>
        <v>3.9991666666666661</v>
      </c>
      <c r="H37" s="37">
        <f t="shared" si="1"/>
        <v>5.564137784086827E-2</v>
      </c>
      <c r="K37" s="1"/>
      <c r="L37" s="1"/>
      <c r="M37" s="48"/>
    </row>
    <row r="38" spans="1:13">
      <c r="A38" s="33">
        <v>41974</v>
      </c>
      <c r="B38" s="34">
        <v>1050</v>
      </c>
      <c r="C38" s="35">
        <f t="shared" si="3"/>
        <v>5.8378397795411709</v>
      </c>
      <c r="D38" s="25"/>
      <c r="E38" s="36">
        <f>VLOOKUP(A38,'Retail weightings - HIDE'!$B$3:$D$51,2,TRUE)</f>
        <v>1.8376859165042569</v>
      </c>
      <c r="F38" s="36">
        <v>4.0999999999999996</v>
      </c>
      <c r="G38" s="36">
        <f t="shared" si="2"/>
        <v>3.9975000000000001</v>
      </c>
      <c r="H38" s="37">
        <f t="shared" si="1"/>
        <v>5.5598474090868287E-2</v>
      </c>
      <c r="K38" s="1"/>
      <c r="L38" s="1"/>
      <c r="M38" s="48"/>
    </row>
    <row r="39" spans="1:13">
      <c r="A39" s="33">
        <v>42005</v>
      </c>
      <c r="B39" s="34">
        <v>980</v>
      </c>
      <c r="C39" s="35">
        <f t="shared" si="3"/>
        <v>5.4486504609050916</v>
      </c>
      <c r="D39" s="25"/>
      <c r="E39" s="36">
        <f>VLOOKUP(A39,'Retail weightings - HIDE'!$B$3:$D$51,2,TRUE)</f>
        <v>1.8376859165042569</v>
      </c>
      <c r="F39" s="36">
        <v>4.07</v>
      </c>
      <c r="G39" s="36">
        <f t="shared" si="2"/>
        <v>3.9975000000000001</v>
      </c>
      <c r="H39" s="37">
        <f t="shared" si="1"/>
        <v>5.5598474090868287E-2</v>
      </c>
      <c r="K39" s="1"/>
      <c r="L39" s="1"/>
      <c r="M39" s="48"/>
    </row>
    <row r="40" spans="1:13">
      <c r="A40" s="33">
        <v>42036</v>
      </c>
      <c r="B40" s="34">
        <v>1170</v>
      </c>
      <c r="C40" s="35">
        <f t="shared" si="3"/>
        <v>6.5100412073815868</v>
      </c>
      <c r="D40" s="25"/>
      <c r="E40" s="36">
        <f>VLOOKUP(A40,'Retail weightings - HIDE'!$B$3:$D$51,2,TRUE)</f>
        <v>1.8376859165042569</v>
      </c>
      <c r="F40" s="36">
        <v>4.09</v>
      </c>
      <c r="G40" s="36">
        <f t="shared" si="2"/>
        <v>3.9991666666666661</v>
      </c>
      <c r="H40" s="37">
        <f t="shared" si="1"/>
        <v>5.564137784086827E-2</v>
      </c>
      <c r="K40" s="1"/>
      <c r="L40" s="1"/>
      <c r="M40" s="48"/>
    </row>
    <row r="41" spans="1:13">
      <c r="A41" s="33">
        <v>42064</v>
      </c>
      <c r="B41" s="34">
        <v>1070</v>
      </c>
      <c r="C41" s="35">
        <f t="shared" si="3"/>
        <v>5.9628088314729055</v>
      </c>
      <c r="D41" s="25"/>
      <c r="E41" s="36">
        <f>VLOOKUP(A41,'Retail weightings - HIDE'!$B$3:$D$51,2,TRUE)</f>
        <v>1.8376859165042569</v>
      </c>
      <c r="F41" s="36">
        <v>4.0999999999999996</v>
      </c>
      <c r="G41" s="36">
        <f t="shared" si="2"/>
        <v>4.0024999999999995</v>
      </c>
      <c r="H41" s="37">
        <f t="shared" si="1"/>
        <v>5.572718534086827E-2</v>
      </c>
      <c r="K41" s="1"/>
      <c r="L41" s="1"/>
      <c r="M41" s="48"/>
    </row>
    <row r="42" spans="1:13">
      <c r="A42" s="33">
        <v>42095</v>
      </c>
      <c r="B42" s="34">
        <v>970</v>
      </c>
      <c r="C42" s="35">
        <f t="shared" si="3"/>
        <v>5.266066185858465</v>
      </c>
      <c r="D42" s="25"/>
      <c r="E42" s="36">
        <f>VLOOKUP(A42,'Retail weightings - HIDE'!$B$3:$D$51,2,TRUE)</f>
        <v>1.8944944944944944</v>
      </c>
      <c r="F42" s="36">
        <v>4.0214383466028503</v>
      </c>
      <c r="G42" s="36">
        <f t="shared" si="2"/>
        <v>4.0034531955502377</v>
      </c>
      <c r="H42" s="37">
        <f t="shared" si="1"/>
        <v>5.4289342122252213E-2</v>
      </c>
      <c r="K42" s="1"/>
      <c r="L42" s="1"/>
      <c r="M42" s="48"/>
    </row>
    <row r="43" spans="1:13">
      <c r="A43" s="33">
        <v>42125</v>
      </c>
      <c r="B43" s="34">
        <v>920</v>
      </c>
      <c r="C43" s="35">
        <f t="shared" si="3"/>
        <v>4.9973290057919098</v>
      </c>
      <c r="D43" s="25"/>
      <c r="E43" s="36">
        <f>VLOOKUP(A43,'Retail weightings - HIDE'!$B$3:$D$51,2,TRUE)</f>
        <v>1.8944944944944944</v>
      </c>
      <c r="F43" s="36">
        <v>3.9137290651582717</v>
      </c>
      <c r="G43" s="36">
        <f t="shared" si="2"/>
        <v>4.0045972843134265</v>
      </c>
      <c r="H43" s="37">
        <f t="shared" si="1"/>
        <v>5.4318793541216409E-2</v>
      </c>
      <c r="K43" s="1"/>
      <c r="L43" s="1"/>
      <c r="M43" s="48"/>
    </row>
    <row r="44" spans="1:13">
      <c r="A44" s="33">
        <v>42156</v>
      </c>
      <c r="B44" s="34">
        <v>1000</v>
      </c>
      <c r="C44" s="35">
        <f t="shared" si="3"/>
        <v>5.4444399657343086</v>
      </c>
      <c r="D44" s="25"/>
      <c r="E44" s="36">
        <f>VLOOKUP(A44,'Retail weightings - HIDE'!$B$3:$D$51,2,TRUE)</f>
        <v>1.8944944944944944</v>
      </c>
      <c r="F44" s="36">
        <v>3.8985525116693323</v>
      </c>
      <c r="G44" s="36">
        <f t="shared" si="2"/>
        <v>4.0094766602858716</v>
      </c>
      <c r="H44" s="37">
        <f t="shared" si="1"/>
        <v>5.4444399657343087E-2</v>
      </c>
      <c r="K44" s="1"/>
      <c r="L44" s="1"/>
      <c r="M44" s="48"/>
    </row>
    <row r="45" spans="1:13">
      <c r="A45" s="33">
        <v>42186</v>
      </c>
      <c r="B45" s="34">
        <v>900</v>
      </c>
      <c r="C45" s="35">
        <f t="shared" si="3"/>
        <v>4.8986649789340531</v>
      </c>
      <c r="D45" s="25"/>
      <c r="E45" s="36">
        <f>VLOOKUP(A45,'Retail weightings - HIDE'!$B$3:$D$51,2,TRUE)</f>
        <v>1.8944944944944944</v>
      </c>
      <c r="F45" s="36">
        <v>3.8331060663470971</v>
      </c>
      <c r="G45" s="36">
        <f t="shared" si="2"/>
        <v>4.0089021658147956</v>
      </c>
      <c r="H45" s="37">
        <f t="shared" si="1"/>
        <v>5.442961087704503E-2</v>
      </c>
      <c r="K45" s="1"/>
      <c r="L45" s="1"/>
      <c r="M45" s="48"/>
    </row>
    <row r="46" spans="1:13">
      <c r="A46" s="33">
        <v>42217</v>
      </c>
      <c r="B46" s="34">
        <v>880</v>
      </c>
      <c r="C46" s="35">
        <f t="shared" si="3"/>
        <v>4.8031395401394992</v>
      </c>
      <c r="D46" s="25"/>
      <c r="E46" s="36">
        <f>VLOOKUP(A46,'Retail weightings - HIDE'!$B$3:$D$51,2,TRUE)</f>
        <v>1.8944944944944944</v>
      </c>
      <c r="F46" s="36">
        <v>3.9906326420901856</v>
      </c>
      <c r="G46" s="36">
        <f t="shared" si="2"/>
        <v>4.0147882193223108</v>
      </c>
      <c r="H46" s="37">
        <f t="shared" si="1"/>
        <v>5.4581131137948852E-2</v>
      </c>
      <c r="K46" s="1"/>
      <c r="L46" s="1"/>
      <c r="M46" s="48"/>
    </row>
    <row r="47" spans="1:13">
      <c r="A47" s="33">
        <v>42248</v>
      </c>
      <c r="B47" s="34">
        <v>960</v>
      </c>
      <c r="C47" s="35">
        <f t="shared" si="3"/>
        <v>5.2513482972277732</v>
      </c>
      <c r="D47" s="25"/>
      <c r="E47" s="36">
        <f>VLOOKUP(A47,'Retail weightings - HIDE'!$B$3:$D$51,2,TRUE)</f>
        <v>1.8944944944944944</v>
      </c>
      <c r="F47" s="36">
        <v>4.0261319813957668</v>
      </c>
      <c r="G47" s="36">
        <f t="shared" si="2"/>
        <v>4.0194658844386248</v>
      </c>
      <c r="H47" s="37">
        <f t="shared" si="1"/>
        <v>5.4701544762789302E-2</v>
      </c>
      <c r="K47" s="1"/>
      <c r="L47" s="1"/>
      <c r="M47" s="48"/>
    </row>
    <row r="48" spans="1:13">
      <c r="A48" s="33">
        <v>42278</v>
      </c>
      <c r="B48" s="34">
        <v>1000</v>
      </c>
      <c r="C48" s="35">
        <f t="shared" si="3"/>
        <v>5.4791996872182969</v>
      </c>
      <c r="D48" s="25"/>
      <c r="E48" s="36">
        <f>VLOOKUP(A48,'Retail weightings - HIDE'!$B$3:$D$51,2,TRUE)</f>
        <v>1.8944944944944944</v>
      </c>
      <c r="F48" s="36">
        <v>4.1221651298050483</v>
      </c>
      <c r="G48" s="36">
        <f t="shared" si="2"/>
        <v>4.0229796452557123</v>
      </c>
      <c r="H48" s="37">
        <f t="shared" si="1"/>
        <v>5.4791996872182967E-2</v>
      </c>
      <c r="K48" s="1"/>
      <c r="L48" s="1"/>
      <c r="M48" s="48"/>
    </row>
    <row r="49" spans="1:13">
      <c r="A49" s="33">
        <v>42309</v>
      </c>
      <c r="B49" s="34">
        <v>970</v>
      </c>
      <c r="C49" s="35">
        <f t="shared" si="3"/>
        <v>5.3229444578001015</v>
      </c>
      <c r="D49" s="25"/>
      <c r="E49" s="36">
        <f>VLOOKUP(A49,'Retail weightings - HIDE'!$B$3:$D$51,2,TRUE)</f>
        <v>1.8944944944944944</v>
      </c>
      <c r="F49" s="36">
        <v>4.1490265128861248</v>
      </c>
      <c r="G49" s="36">
        <f t="shared" si="2"/>
        <v>4.026231854662889</v>
      </c>
      <c r="H49" s="37">
        <f t="shared" si="1"/>
        <v>5.4875716059794862E-2</v>
      </c>
      <c r="K49" s="1"/>
      <c r="L49" s="1"/>
      <c r="M49" s="48"/>
    </row>
    <row r="50" spans="1:13" s="16" customFormat="1" ht="13" thickBot="1">
      <c r="A50" s="38">
        <v>42339</v>
      </c>
      <c r="B50" s="39">
        <v>930</v>
      </c>
      <c r="C50" s="40">
        <f t="shared" si="3"/>
        <v>5.1099412872037115</v>
      </c>
      <c r="D50" s="41"/>
      <c r="E50" s="42">
        <f>VLOOKUP(A50,'Retail weightings - HIDE'!$B$3:$D$51,2,TRUE)</f>
        <v>1.8944944944944944</v>
      </c>
      <c r="F50" s="42">
        <v>4.1325795199509239</v>
      </c>
      <c r="G50" s="42">
        <f t="shared" si="2"/>
        <v>4.0289468146587994</v>
      </c>
      <c r="H50" s="43">
        <f t="shared" si="1"/>
        <v>5.4945605238749584E-2</v>
      </c>
      <c r="K50" s="47"/>
      <c r="L50" s="47"/>
      <c r="M50" s="50"/>
    </row>
    <row r="51" spans="1:13" ht="13">
      <c r="A51" s="7">
        <v>42370</v>
      </c>
      <c r="B51" s="8">
        <v>900</v>
      </c>
      <c r="C51" s="9">
        <f t="shared" si="3"/>
        <v>4.9451044714874621</v>
      </c>
      <c r="E51" s="6">
        <f>VLOOKUP(A51,'Retail weightings - HIDE'!$B$3:$D$51,2,TRUE)</f>
        <v>1.8944944944944944</v>
      </c>
      <c r="F51" s="3">
        <v>4.153909665889608</v>
      </c>
      <c r="G51" s="3">
        <f t="shared" si="2"/>
        <v>4.0359392868162676</v>
      </c>
      <c r="H51" s="4">
        <f t="shared" ref="H51:H67" si="4">(G50-E51)*1.02969/0.4/100</f>
        <v>5.4945605238749584E-2</v>
      </c>
      <c r="J51" s="51" t="s">
        <v>31</v>
      </c>
      <c r="K51" s="1"/>
      <c r="L51" s="1"/>
      <c r="M51" s="48"/>
    </row>
    <row r="52" spans="1:13">
      <c r="A52" s="7">
        <v>42401</v>
      </c>
      <c r="B52" s="8">
        <v>860</v>
      </c>
      <c r="C52" s="9">
        <f t="shared" si="3"/>
        <v>4.7408022196424842</v>
      </c>
      <c r="E52" s="6">
        <f>VLOOKUP(A52,'Retail weightings - HIDE'!$B$3:$D$51,2,TRUE)</f>
        <v>1.8944944944944944</v>
      </c>
      <c r="F52" s="3">
        <v>4.1759188291475873</v>
      </c>
      <c r="G52" s="3">
        <f t="shared" si="2"/>
        <v>4.0430991892452326</v>
      </c>
      <c r="H52" s="4">
        <f t="shared" si="4"/>
        <v>5.5125607205145165E-2</v>
      </c>
      <c r="K52" s="1"/>
      <c r="L52" s="1"/>
      <c r="M52" s="48"/>
    </row>
    <row r="53" spans="1:13">
      <c r="A53" s="7">
        <v>42430</v>
      </c>
      <c r="B53" s="8">
        <v>820</v>
      </c>
      <c r="C53" s="9">
        <f t="shared" si="3"/>
        <v>4.5354133746826699</v>
      </c>
      <c r="E53" s="6">
        <f>VLOOKUP(A53,'Retail weightings - HIDE'!$B$3:$D$51,2,TRUE)</f>
        <v>1.8944944944944944</v>
      </c>
      <c r="F53" s="3">
        <v>4.1950477849476693</v>
      </c>
      <c r="G53" s="3">
        <f t="shared" si="2"/>
        <v>4.0510198379908724</v>
      </c>
      <c r="H53" s="4">
        <f t="shared" si="4"/>
        <v>5.5309919203447196E-2</v>
      </c>
      <c r="K53" s="1"/>
      <c r="L53" s="1"/>
      <c r="M53" s="48"/>
    </row>
    <row r="54" spans="1:13">
      <c r="A54" s="7">
        <v>42461</v>
      </c>
      <c r="B54" s="8">
        <v>800</v>
      </c>
      <c r="C54" s="9">
        <f t="shared" si="3"/>
        <v>4.5017189396947908</v>
      </c>
      <c r="E54" s="6">
        <f>VLOOKUP(A54,'Retail weightings - HIDE'!$B$3:$D$51,2,TRUE)</f>
        <v>1.8650614720288885</v>
      </c>
      <c r="F54" s="3">
        <v>4.1565889097039497</v>
      </c>
      <c r="G54" s="3">
        <f t="shared" si="2"/>
        <v>4.0622823849159637</v>
      </c>
      <c r="H54" s="4">
        <f t="shared" si="4"/>
        <v>5.6271486746184873E-2</v>
      </c>
      <c r="K54" s="1"/>
      <c r="L54" s="1"/>
      <c r="M54" s="48"/>
    </row>
    <row r="55" spans="1:13">
      <c r="A55" s="7">
        <v>42491</v>
      </c>
      <c r="B55" s="8">
        <v>860</v>
      </c>
      <c r="C55" s="9">
        <f t="shared" si="3"/>
        <v>4.8642812638499882</v>
      </c>
      <c r="E55" s="6">
        <f>VLOOKUP(A55,'Retail weightings - HIDE'!$B$3:$D$51,2,TRUE)</f>
        <v>1.8650614720288885</v>
      </c>
      <c r="F55" s="3">
        <v>3.9924298934586901</v>
      </c>
      <c r="G55" s="3">
        <f t="shared" si="2"/>
        <v>4.0688407872743317</v>
      </c>
      <c r="H55" s="4">
        <f t="shared" si="4"/>
        <v>5.65614100447673E-2</v>
      </c>
      <c r="K55" s="1"/>
      <c r="L55" s="1"/>
      <c r="M55" s="48"/>
    </row>
    <row r="56" spans="1:13">
      <c r="A56" s="7">
        <v>42522</v>
      </c>
      <c r="B56" s="8">
        <v>1100</v>
      </c>
      <c r="C56" s="9">
        <f t="shared" si="3"/>
        <v>6.2403261885664714</v>
      </c>
      <c r="E56" s="6">
        <f>VLOOKUP(A56,'Retail weightings - HIDE'!$B$3:$D$51,2,TRUE)</f>
        <v>1.8650614720288885</v>
      </c>
      <c r="F56" s="3">
        <v>3.9389952328641602</v>
      </c>
      <c r="G56" s="3">
        <f t="shared" si="2"/>
        <v>4.0722110140405672</v>
      </c>
      <c r="H56" s="4">
        <f t="shared" si="4"/>
        <v>5.6730238077877006E-2</v>
      </c>
      <c r="K56" s="1"/>
      <c r="L56" s="1"/>
      <c r="M56" s="48"/>
    </row>
    <row r="57" spans="1:13">
      <c r="A57" s="7">
        <v>42552</v>
      </c>
      <c r="B57" s="8">
        <v>1370</v>
      </c>
      <c r="C57" s="9">
        <f t="shared" si="3"/>
        <v>7.7839283558054664</v>
      </c>
      <c r="E57" s="6">
        <f>VLOOKUP(A57,'Retail weightings - HIDE'!$B$3:$D$51,2,TRUE)</f>
        <v>1.8650614720288885</v>
      </c>
      <c r="F57" s="3">
        <v>3.9442824264302598</v>
      </c>
      <c r="G57" s="3">
        <f t="shared" si="2"/>
        <v>4.081475710714165</v>
      </c>
      <c r="H57" s="4">
        <f t="shared" si="4"/>
        <v>5.6816995297850122E-2</v>
      </c>
      <c r="K57" s="1"/>
      <c r="L57" s="1"/>
      <c r="M57" s="48"/>
    </row>
    <row r="58" spans="1:13">
      <c r="A58" s="7">
        <v>42583</v>
      </c>
      <c r="B58" s="8">
        <v>1470</v>
      </c>
      <c r="C58" s="9">
        <f t="shared" si="3"/>
        <v>8.3871569470620209</v>
      </c>
      <c r="E58" s="6">
        <f>VLOOKUP(A58,'Retail weightings - HIDE'!$B$3:$D$51,2,TRUE)</f>
        <v>1.8650614720288885</v>
      </c>
      <c r="F58" s="3">
        <v>3.9808130579623899</v>
      </c>
      <c r="G58" s="3">
        <f t="shared" si="2"/>
        <v>4.0806574120368486</v>
      </c>
      <c r="H58" s="4">
        <f t="shared" si="4"/>
        <v>5.705548943579606E-2</v>
      </c>
      <c r="K58" s="1"/>
      <c r="L58" s="1"/>
      <c r="M58" s="48"/>
    </row>
    <row r="59" spans="1:13">
      <c r="A59" s="7">
        <v>42614</v>
      </c>
      <c r="B59" s="8">
        <v>1710</v>
      </c>
      <c r="C59" s="9">
        <f t="shared" si="3"/>
        <v>9.7528866043205547</v>
      </c>
      <c r="E59" s="6">
        <f>VLOOKUP(A59,'Retail weightings - HIDE'!$B$3:$D$51,2,TRUE)</f>
        <v>1.8650614720288885</v>
      </c>
      <c r="F59" s="3">
        <v>4.0868000621963398</v>
      </c>
      <c r="G59" s="3">
        <f t="shared" si="2"/>
        <v>4.0857130854368959</v>
      </c>
      <c r="H59" s="4">
        <f t="shared" si="4"/>
        <v>5.7034424586669907E-2</v>
      </c>
      <c r="K59" s="1"/>
      <c r="L59" s="1"/>
      <c r="M59" s="48"/>
    </row>
    <row r="60" spans="1:13">
      <c r="A60" s="7">
        <v>42644</v>
      </c>
      <c r="B60" s="8">
        <v>1930</v>
      </c>
      <c r="C60" s="9">
        <f t="shared" si="3"/>
        <v>10.991492196251752</v>
      </c>
      <c r="E60" s="6">
        <f>VLOOKUP(A60,'Retail weightings - HIDE'!$B$3:$D$51,2,TRUE)</f>
        <v>1.8733681362524308</v>
      </c>
      <c r="F60" s="3">
        <v>4.17824214827088</v>
      </c>
      <c r="G60" s="3">
        <f t="shared" si="2"/>
        <v>4.0903861703090483</v>
      </c>
      <c r="H60" s="4">
        <f t="shared" si="4"/>
        <v>5.6950736768143793E-2</v>
      </c>
      <c r="K60" s="1"/>
      <c r="L60" s="1"/>
      <c r="M60" s="48"/>
    </row>
    <row r="61" spans="1:13">
      <c r="A61" s="7">
        <v>42675</v>
      </c>
      <c r="B61" s="8">
        <v>1990</v>
      </c>
      <c r="C61" s="9">
        <f t="shared" si="3"/>
        <v>11.357135464951599</v>
      </c>
      <c r="E61" s="6">
        <f>VLOOKUP(A61,'Retail weightings - HIDE'!$B$3:$D$51,2,TRUE)</f>
        <v>1.8733681362524308</v>
      </c>
      <c r="F61" s="3">
        <v>4.2487329350621499</v>
      </c>
      <c r="G61" s="3">
        <f t="shared" si="2"/>
        <v>4.0986950388237178</v>
      </c>
      <c r="H61" s="4">
        <f t="shared" si="4"/>
        <v>5.7071032487193959E-2</v>
      </c>
      <c r="K61" s="1"/>
      <c r="L61" s="1"/>
      <c r="M61" s="48"/>
    </row>
    <row r="62" spans="1:13">
      <c r="A62" s="7">
        <v>42705</v>
      </c>
      <c r="B62" s="8">
        <v>1800</v>
      </c>
      <c r="C62" s="9">
        <f t="shared" si="3"/>
        <v>10.311285862388827</v>
      </c>
      <c r="E62" s="6">
        <f>VLOOKUP(A62,'Retail weightings - HIDE'!$B$3:$D$51,2,TRUE)</f>
        <v>1.8733681362524308</v>
      </c>
      <c r="F62" s="3">
        <v>4.1866605013863802</v>
      </c>
      <c r="G62" s="3">
        <f t="shared" si="2"/>
        <v>4.1032017872766717</v>
      </c>
      <c r="H62" s="4">
        <f t="shared" si="4"/>
        <v>5.7284921457715708E-2</v>
      </c>
      <c r="K62" s="1"/>
      <c r="L62" s="1"/>
      <c r="M62" s="48"/>
    </row>
    <row r="63" spans="1:13">
      <c r="A63" s="7">
        <v>42736</v>
      </c>
      <c r="B63" s="8">
        <v>1620</v>
      </c>
      <c r="C63" s="9">
        <f t="shared" si="3"/>
        <v>9.2989515190987611</v>
      </c>
      <c r="E63" s="6">
        <f>VLOOKUP(A63,'Retail weightings - HIDE'!$B$3:$D$51,2,TRUE)</f>
        <v>1.8733681362524308</v>
      </c>
      <c r="F63" s="3">
        <v>4.1200122705277504</v>
      </c>
      <c r="G63" s="3">
        <f t="shared" si="2"/>
        <v>4.1003770043298511</v>
      </c>
      <c r="H63" s="4">
        <f>(G62-E63)*1.02969/0.4/100</f>
        <v>5.7400935303078764E-2</v>
      </c>
      <c r="K63" s="1"/>
      <c r="L63" s="1"/>
      <c r="M63" s="48"/>
    </row>
    <row r="64" spans="1:13">
      <c r="A64" s="7">
        <v>42767</v>
      </c>
      <c r="B64" s="8">
        <v>1540</v>
      </c>
      <c r="C64" s="9">
        <f t="shared" si="3"/>
        <v>8.8285457312769609</v>
      </c>
      <c r="E64" s="6">
        <f>VLOOKUP(A64,'Retail weightings - HIDE'!$B$3:$D$51,2,TRUE)</f>
        <v>1.8733681362524308</v>
      </c>
      <c r="F64" s="3">
        <v>4.1346581311938104</v>
      </c>
      <c r="G64" s="3">
        <f t="shared" si="2"/>
        <v>4.0969386128337026</v>
      </c>
      <c r="H64" s="4">
        <f t="shared" si="4"/>
        <v>5.7328219034265972E-2</v>
      </c>
      <c r="K64" s="1"/>
      <c r="L64" s="1"/>
      <c r="M64" s="48"/>
    </row>
    <row r="65" spans="1:13">
      <c r="A65" s="7">
        <v>42795</v>
      </c>
      <c r="B65" s="8">
        <v>1690</v>
      </c>
      <c r="C65" s="9">
        <f t="shared" si="3"/>
        <v>9.6735105000308472</v>
      </c>
      <c r="E65" s="6">
        <f>VLOOKUP(A65,'Retail weightings - HIDE'!$B$3:$D$51,2,TRUE)</f>
        <v>1.8733681362524308</v>
      </c>
      <c r="F65" s="3">
        <v>4.1187644841657498</v>
      </c>
      <c r="G65" s="3">
        <f t="shared" si="2"/>
        <v>4.0905816711018756</v>
      </c>
      <c r="H65" s="4">
        <f t="shared" si="4"/>
        <v>5.7239707100774237E-2</v>
      </c>
      <c r="K65" s="1"/>
      <c r="L65" s="1"/>
      <c r="M65" s="48"/>
    </row>
    <row r="66" spans="1:13">
      <c r="A66" s="7">
        <v>42826</v>
      </c>
      <c r="B66" s="8">
        <v>1730</v>
      </c>
      <c r="C66" s="9">
        <f t="shared" si="3"/>
        <v>9.802004879658794</v>
      </c>
      <c r="E66" s="6">
        <f>VLOOKUP(A66,'Retail weightings - HIDE'!$B$3:$D$51,2,TRUE)</f>
        <v>1.8895701921638479</v>
      </c>
      <c r="F66" s="3">
        <v>4.0550112851776303</v>
      </c>
      <c r="G66" s="3">
        <f t="shared" si="2"/>
        <v>4.0821168690580159</v>
      </c>
      <c r="H66" s="4">
        <f t="shared" si="4"/>
        <v>5.6658987743692449E-2</v>
      </c>
      <c r="K66" s="1"/>
      <c r="L66" s="1"/>
      <c r="M66" s="48"/>
    </row>
    <row r="67" spans="1:13">
      <c r="A67" s="7">
        <v>42856</v>
      </c>
      <c r="B67" s="8">
        <v>1960</v>
      </c>
      <c r="C67" s="9">
        <f t="shared" ref="C67:C82" si="5">((B67/1000)*H67)*100</f>
        <v>11.062452599882663</v>
      </c>
      <c r="E67" s="6">
        <f>VLOOKUP(A67,'Retail weightings - HIDE'!$B$3:$D$51,2,TRUE)</f>
        <v>1.8895701921638479</v>
      </c>
      <c r="F67" s="3">
        <v>3.9512214814190298</v>
      </c>
      <c r="G67" s="3">
        <f t="shared" si="2"/>
        <v>4.0786828347213779</v>
      </c>
      <c r="H67" s="4">
        <f t="shared" si="4"/>
        <v>5.6441084693278895E-2</v>
      </c>
      <c r="K67" s="1"/>
      <c r="L67" s="1"/>
      <c r="M67" s="48"/>
    </row>
    <row r="68" spans="1:13">
      <c r="A68" s="7">
        <v>42887</v>
      </c>
      <c r="B68" s="8">
        <v>2370</v>
      </c>
      <c r="C68" s="9">
        <f t="shared" si="5"/>
        <v>13.355586326721747</v>
      </c>
      <c r="E68" s="6">
        <f>VLOOKUP(A68,'Retail weightings - HIDE'!$B$3:$D$51,2,TRUE)</f>
        <v>1.8895701921638479</v>
      </c>
      <c r="F68" s="3">
        <v>3.92847553332874</v>
      </c>
      <c r="G68" s="3">
        <f t="shared" si="2"/>
        <v>4.0778061930934264</v>
      </c>
      <c r="H68" s="4">
        <f t="shared" ref="H68:H90" si="6">(G67-E68)*1.02969/0.4/100</f>
        <v>5.6352684922876567E-2</v>
      </c>
      <c r="K68" s="1"/>
      <c r="L68" s="1"/>
      <c r="M68" s="48"/>
    </row>
    <row r="69" spans="1:13">
      <c r="A69" s="7">
        <v>42917</v>
      </c>
      <c r="B69" s="8">
        <v>2500</v>
      </c>
      <c r="C69" s="9">
        <f t="shared" si="5"/>
        <v>14.082529548732362</v>
      </c>
      <c r="E69" s="6">
        <f>VLOOKUP(A69,'Retail weightings - HIDE'!$B$3:$D$51,2,TRUE)</f>
        <v>1.8895701921638479</v>
      </c>
      <c r="F69" s="3">
        <v>3.9347790225913499</v>
      </c>
      <c r="G69" s="3">
        <f t="shared" si="2"/>
        <v>4.077014242773517</v>
      </c>
      <c r="H69" s="4">
        <f t="shared" si="6"/>
        <v>5.6330118194929446E-2</v>
      </c>
      <c r="K69" s="1"/>
      <c r="L69" s="1"/>
      <c r="M69" s="48"/>
    </row>
    <row r="70" spans="1:13">
      <c r="A70" s="7">
        <v>42948</v>
      </c>
      <c r="B70" s="8">
        <v>2850</v>
      </c>
      <c r="C70" s="9">
        <f t="shared" si="5"/>
        <v>16.048273509364925</v>
      </c>
      <c r="E70" s="6">
        <f>VLOOKUP(A70,'Retail weightings - HIDE'!$B$3:$D$51,2,TRUE)</f>
        <v>1.8895701921638479</v>
      </c>
      <c r="F70" s="3">
        <v>4.0136484405227302</v>
      </c>
      <c r="G70" s="3">
        <f t="shared" si="2"/>
        <v>4.0797505246535453</v>
      </c>
      <c r="H70" s="4">
        <f t="shared" si="6"/>
        <v>5.6309731611806753E-2</v>
      </c>
      <c r="K70" s="1"/>
      <c r="L70" s="1"/>
      <c r="M70" s="48"/>
    </row>
    <row r="71" spans="1:13">
      <c r="A71" s="7">
        <v>42979</v>
      </c>
      <c r="B71" s="8">
        <v>2830</v>
      </c>
      <c r="C71" s="9">
        <f t="shared" si="5"/>
        <v>15.955588014921309</v>
      </c>
      <c r="E71" s="6">
        <f>VLOOKUP(A71,'Retail weightings - HIDE'!$B$3:$D$51,2,TRUE)</f>
        <v>1.8895701921638479</v>
      </c>
      <c r="F71" s="3">
        <v>4.1329683005277502</v>
      </c>
      <c r="G71" s="3">
        <f t="shared" si="2"/>
        <v>4.0835978778478301</v>
      </c>
      <c r="H71" s="4">
        <f t="shared" si="6"/>
        <v>5.6380169664032899E-2</v>
      </c>
      <c r="K71" s="1"/>
      <c r="L71" s="1"/>
      <c r="M71" s="48"/>
    </row>
    <row r="72" spans="1:13">
      <c r="A72" s="7">
        <v>43009</v>
      </c>
      <c r="B72" s="8">
        <v>2180</v>
      </c>
      <c r="C72" s="9">
        <f t="shared" si="5"/>
        <v>12.254832423908272</v>
      </c>
      <c r="E72" s="6">
        <f>VLOOKUP(A72,'Retail weightings - HIDE'!$B$3:$D$51,2,TRUE)</f>
        <v>1.8998405282530295</v>
      </c>
      <c r="F72" s="3">
        <v>4.1840543726178598</v>
      </c>
      <c r="G72" s="3">
        <f t="shared" si="2"/>
        <v>4.0840822298767447</v>
      </c>
      <c r="H72" s="4">
        <f t="shared" si="6"/>
        <v>5.6214827632606754E-2</v>
      </c>
      <c r="K72" s="1"/>
      <c r="L72" s="1"/>
      <c r="M72" s="48"/>
    </row>
    <row r="73" spans="1:13">
      <c r="A73" s="7">
        <v>43040</v>
      </c>
      <c r="B73" s="8">
        <v>2100</v>
      </c>
      <c r="C73" s="9">
        <f t="shared" si="5"/>
        <v>11.807732148160847</v>
      </c>
      <c r="E73" s="6">
        <f>VLOOKUP(A73,'Retail weightings - HIDE'!$B$3:$D$51,2,TRUE)</f>
        <v>1.8998405282530295</v>
      </c>
      <c r="F73" s="3">
        <v>4.1922434544655598</v>
      </c>
      <c r="G73" s="3">
        <f t="shared" si="2"/>
        <v>4.0793747731603611</v>
      </c>
      <c r="H73" s="4">
        <f t="shared" si="6"/>
        <v>5.6227295943623072E-2</v>
      </c>
      <c r="K73" s="1"/>
      <c r="L73" s="1"/>
      <c r="M73" s="48"/>
    </row>
    <row r="74" spans="1:13">
      <c r="A74" s="7">
        <v>43070</v>
      </c>
      <c r="B74" s="8">
        <v>1800</v>
      </c>
      <c r="C74" s="9">
        <f t="shared" si="5"/>
        <v>10.099100774873836</v>
      </c>
      <c r="E74" s="6">
        <f>VLOOKUP(A74,'Retail weightings - HIDE'!$B$3:$D$51,2,TRUE)</f>
        <v>1.8998405282530295</v>
      </c>
      <c r="F74" s="3">
        <v>4.2047065542979096</v>
      </c>
      <c r="G74" s="3">
        <f t="shared" si="2"/>
        <v>4.0808786109029889</v>
      </c>
      <c r="H74" s="4">
        <f t="shared" si="6"/>
        <v>5.6106115415965753E-2</v>
      </c>
      <c r="K74" s="1"/>
      <c r="L74" s="1"/>
      <c r="M74" s="48"/>
    </row>
    <row r="75" spans="1:13">
      <c r="A75" s="7">
        <v>43101</v>
      </c>
      <c r="B75" s="8">
        <v>1550</v>
      </c>
      <c r="C75" s="9">
        <f t="shared" si="5"/>
        <v>8.7024482753798669</v>
      </c>
      <c r="E75" s="6">
        <f>VLOOKUP(A75,'Retail weightings - HIDE'!$B$3:$D$51,2,TRUE)</f>
        <v>1.8998405282530295</v>
      </c>
      <c r="F75" s="3">
        <v>4.1439019473209902</v>
      </c>
      <c r="G75" s="3">
        <f t="shared" si="2"/>
        <v>4.082869417302426</v>
      </c>
      <c r="H75" s="4">
        <f t="shared" si="6"/>
        <v>5.6144827583095906E-2</v>
      </c>
      <c r="K75" s="46"/>
      <c r="L75" s="1"/>
      <c r="M75" s="48"/>
    </row>
    <row r="76" spans="1:13">
      <c r="A76" s="7">
        <v>43132</v>
      </c>
      <c r="B76" s="8">
        <v>1850</v>
      </c>
      <c r="C76" s="9">
        <f t="shared" si="5"/>
        <v>10.396273952539389</v>
      </c>
      <c r="E76" s="6">
        <f>VLOOKUP(A76,'Retail weightings - HIDE'!$B$3:$D$51,2,TRUE)</f>
        <v>1.8998405282530295</v>
      </c>
      <c r="F76" s="3">
        <v>4.1580933786334002</v>
      </c>
      <c r="G76" s="3">
        <f t="shared" si="2"/>
        <v>4.0848223545890585</v>
      </c>
      <c r="H76" s="4">
        <f t="shared" si="6"/>
        <v>5.6196075419131832E-2</v>
      </c>
      <c r="K76" s="46"/>
      <c r="L76" s="1"/>
      <c r="M76" s="48"/>
    </row>
    <row r="77" spans="1:13">
      <c r="A77" s="7">
        <v>43160</v>
      </c>
      <c r="B77" s="8">
        <v>1930</v>
      </c>
      <c r="C77" s="9">
        <f t="shared" si="5"/>
        <v>10.855545244866734</v>
      </c>
      <c r="E77" s="6">
        <f>VLOOKUP(A77,'Retail weightings - HIDE'!$B$3:$D$51,2,TRUE)</f>
        <v>1.8998405282530295</v>
      </c>
      <c r="F77" s="3">
        <v>4.1962334041304103</v>
      </c>
      <c r="G77" s="3">
        <f t="shared" si="2"/>
        <v>4.0912780979194467</v>
      </c>
      <c r="H77" s="4">
        <f t="shared" si="6"/>
        <v>5.6246348418998629E-2</v>
      </c>
      <c r="K77" s="46"/>
      <c r="L77" s="1"/>
      <c r="M77" s="48"/>
    </row>
    <row r="78" spans="1:13">
      <c r="A78" s="7">
        <v>43191</v>
      </c>
      <c r="B78" s="8">
        <v>2080</v>
      </c>
      <c r="C78" s="9">
        <f t="shared" si="5"/>
        <v>11.687665386981589</v>
      </c>
      <c r="E78" s="6">
        <f>VLOOKUP(A78,'Retail weightings - HIDE'!$B$3:$D$51,2,TRUE)</f>
        <v>1.9084580656428189</v>
      </c>
      <c r="F78" s="3">
        <v>4.1257377932799644</v>
      </c>
      <c r="G78" s="3">
        <f t="shared" si="2"/>
        <v>4.0971719735946417</v>
      </c>
      <c r="H78" s="4">
        <f t="shared" si="6"/>
        <v>5.6190698975873025E-2</v>
      </c>
      <c r="K78" s="46"/>
      <c r="L78" s="1"/>
      <c r="M78" s="48"/>
    </row>
    <row r="79" spans="1:13">
      <c r="A79" s="7">
        <v>43221</v>
      </c>
      <c r="B79" s="8">
        <v>2350</v>
      </c>
      <c r="C79" s="9">
        <f t="shared" si="5"/>
        <v>13.240468840288614</v>
      </c>
      <c r="E79" s="6">
        <f>VLOOKUP(A79,'Retail weightings - HIDE'!$B$3:$D$51,2,TRUE)</f>
        <v>1.9084580656428189</v>
      </c>
      <c r="F79" s="3">
        <v>3.9635082169653826</v>
      </c>
      <c r="G79" s="3">
        <f t="shared" ref="G79:G81" si="7">AVERAGE(F68:F79)</f>
        <v>4.0981958682235042</v>
      </c>
      <c r="H79" s="4">
        <f t="shared" si="6"/>
        <v>5.6342420596972816E-2</v>
      </c>
      <c r="K79" s="46"/>
      <c r="L79" s="1"/>
      <c r="M79" s="48"/>
    </row>
    <row r="80" spans="1:13">
      <c r="A80" s="7">
        <v>43252</v>
      </c>
      <c r="B80" s="8">
        <v>2320</v>
      </c>
      <c r="C80" s="9">
        <f t="shared" si="5"/>
        <v>13.077556484047973</v>
      </c>
      <c r="E80" s="6">
        <f>VLOOKUP(A80,'Retail weightings - HIDE'!$B$3:$D$51,2,TRUE)</f>
        <v>1.9084580656428189</v>
      </c>
      <c r="F80" s="3">
        <v>3.9019083341747614</v>
      </c>
      <c r="G80" s="3">
        <f t="shared" si="7"/>
        <v>4.0959819349606725</v>
      </c>
      <c r="H80" s="4">
        <f t="shared" si="6"/>
        <v>5.6368777948482648E-2</v>
      </c>
      <c r="K80" s="46"/>
      <c r="L80" s="1"/>
      <c r="M80" s="48"/>
    </row>
    <row r="81" spans="1:13">
      <c r="A81" s="7">
        <v>43282</v>
      </c>
      <c r="B81" s="8">
        <v>2150</v>
      </c>
      <c r="C81" s="9">
        <f t="shared" si="5"/>
        <v>12.107034059863715</v>
      </c>
      <c r="E81" s="6">
        <f>VLOOKUP(A81,'Retail weightings - HIDE'!$B$3:$D$51,2,TRUE)</f>
        <v>1.9084580656428189</v>
      </c>
      <c r="F81" s="3">
        <v>3.8873454343478646</v>
      </c>
      <c r="G81" s="3">
        <f t="shared" si="7"/>
        <v>4.0920291359403818</v>
      </c>
      <c r="H81" s="4">
        <f t="shared" si="6"/>
        <v>5.6311786324947516E-2</v>
      </c>
      <c r="K81" s="46"/>
      <c r="L81" s="1"/>
      <c r="M81" s="48"/>
    </row>
    <row r="82" spans="1:13">
      <c r="A82" s="7">
        <v>43313</v>
      </c>
      <c r="B82" s="8">
        <v>2230</v>
      </c>
      <c r="C82" s="9">
        <f t="shared" si="5"/>
        <v>12.534837221713937</v>
      </c>
      <c r="E82" s="6">
        <f>VLOOKUP(A82,'Retail weightings - HIDE'!$B$3:$D$51,2,TRUE)</f>
        <v>1.9084580656428189</v>
      </c>
      <c r="F82" s="3">
        <v>3.98059862038679</v>
      </c>
      <c r="G82" s="3">
        <f>AVERAGE(F71:F82)</f>
        <v>4.0892749842623877</v>
      </c>
      <c r="H82" s="4">
        <f t="shared" si="6"/>
        <v>5.6210032384367434E-2</v>
      </c>
      <c r="K82" s="46"/>
      <c r="L82" s="1"/>
      <c r="M82" s="48"/>
    </row>
    <row r="83" spans="1:13" s="5" customFormat="1">
      <c r="A83" s="7">
        <v>43344</v>
      </c>
      <c r="B83" s="8">
        <v>2130</v>
      </c>
      <c r="C83" s="9">
        <f t="shared" ref="C83:C89" si="8">((B83/1000)*H83)*100</f>
        <v>11.957635610870266</v>
      </c>
      <c r="E83" s="6">
        <f>VLOOKUP(A83,'Retail weightings - HIDE'!$B$3:$D$51,2,TRUE)</f>
        <v>1.9084580656428189</v>
      </c>
      <c r="F83" s="6">
        <v>4.0850946771118775</v>
      </c>
      <c r="G83" s="3">
        <f t="shared" ref="G83" si="9">AVERAGE(F72:F83)</f>
        <v>4.0852855156443981</v>
      </c>
      <c r="H83" s="4">
        <f t="shared" si="6"/>
        <v>5.6139134323334589E-2</v>
      </c>
      <c r="J83"/>
      <c r="K83" s="46"/>
      <c r="L83" s="1"/>
      <c r="M83" s="48"/>
    </row>
    <row r="84" spans="1:13">
      <c r="A84" s="7">
        <v>43374</v>
      </c>
      <c r="B84" s="8">
        <v>1840</v>
      </c>
      <c r="C84" s="9">
        <f t="shared" si="8"/>
        <v>10.302159940849227</v>
      </c>
      <c r="E84" s="6">
        <f>VLOOKUP(A84,'Retail weightings - HIDE'!$B$3:$D$51,2,TRUE)</f>
        <v>1.9102619773550717</v>
      </c>
      <c r="F84" s="3">
        <v>4.1713840004254399</v>
      </c>
      <c r="G84" s="3">
        <f t="shared" ref="G84:G89" si="10">AVERAGE(F73:F84)</f>
        <v>4.0842296512950291</v>
      </c>
      <c r="H84" s="4">
        <f t="shared" si="6"/>
        <v>5.5989999678528406E-2</v>
      </c>
      <c r="K84" s="46"/>
      <c r="L84" s="1"/>
      <c r="M84" s="48"/>
    </row>
    <row r="85" spans="1:13">
      <c r="A85" s="7">
        <v>43405</v>
      </c>
      <c r="B85" s="10">
        <v>1830</v>
      </c>
      <c r="C85" s="9">
        <f t="shared" si="8"/>
        <v>10.241195941869998</v>
      </c>
      <c r="E85" s="6">
        <f>VLOOKUP(A85,'Retail weightings - HIDE'!$B$3:$D$51,2,TRUE)</f>
        <v>1.9102619773550717</v>
      </c>
      <c r="F85" s="3">
        <v>4.195871670513557</v>
      </c>
      <c r="G85" s="3">
        <f t="shared" si="10"/>
        <v>4.0845320026323622</v>
      </c>
      <c r="H85" s="4">
        <f t="shared" si="6"/>
        <v>5.5962819354480865E-2</v>
      </c>
      <c r="I85" s="2"/>
      <c r="K85" s="46"/>
      <c r="L85" s="1"/>
      <c r="M85" s="48"/>
    </row>
    <row r="86" spans="1:13">
      <c r="A86" s="7">
        <v>43435</v>
      </c>
      <c r="B86" s="10">
        <v>1700</v>
      </c>
      <c r="C86" s="9">
        <f t="shared" si="8"/>
        <v>9.5150024348930362</v>
      </c>
      <c r="E86" s="6">
        <f>VLOOKUP(A86,'Retail weightings - HIDE'!$B$3:$D$51,2,TRUE)</f>
        <v>1.9102619773550717</v>
      </c>
      <c r="F86" s="3">
        <v>4.1519424294425136</v>
      </c>
      <c r="G86" s="3">
        <f t="shared" si="10"/>
        <v>4.0801349922277454</v>
      </c>
      <c r="H86" s="4">
        <f t="shared" si="6"/>
        <v>5.5970602558194325E-2</v>
      </c>
      <c r="K86" s="46"/>
      <c r="L86" s="1"/>
      <c r="M86" s="48"/>
    </row>
    <row r="87" spans="1:13">
      <c r="A87" s="7">
        <v>43466</v>
      </c>
      <c r="B87" s="10">
        <v>1710</v>
      </c>
      <c r="C87" s="9">
        <f t="shared" si="8"/>
        <v>9.5516177285251391</v>
      </c>
      <c r="E87" s="6">
        <f>VLOOKUP(A87,'Retail weightings - HIDE'!$B$3:$D$51,2,TRUE)</f>
        <v>1.9102619773550717</v>
      </c>
      <c r="F87" s="3">
        <v>4.1071130116842767</v>
      </c>
      <c r="G87" s="3">
        <f t="shared" si="10"/>
        <v>4.0770692475913526</v>
      </c>
      <c r="H87" s="4">
        <f t="shared" si="6"/>
        <v>5.5857413617106083E-2</v>
      </c>
      <c r="K87" s="46"/>
      <c r="L87" s="1"/>
      <c r="M87" s="48"/>
    </row>
    <row r="88" spans="1:13">
      <c r="A88" s="7">
        <v>43497</v>
      </c>
      <c r="B88" s="10">
        <v>1610</v>
      </c>
      <c r="C88" s="9">
        <f t="shared" si="8"/>
        <v>8.9803376068106235</v>
      </c>
      <c r="E88" s="6">
        <f>VLOOKUP(A88,'Retail weightings - HIDE'!$B$3:$D$51,2,TRUE)</f>
        <v>1.9102619773550717</v>
      </c>
      <c r="F88" s="3">
        <v>4.1004864772337228</v>
      </c>
      <c r="G88" s="3">
        <f t="shared" si="10"/>
        <v>4.0722686724747135</v>
      </c>
      <c r="H88" s="4">
        <f t="shared" si="6"/>
        <v>5.5778494452239896E-2</v>
      </c>
      <c r="K88" s="46"/>
      <c r="L88" s="1"/>
      <c r="M88" s="48"/>
    </row>
    <row r="89" spans="1:13">
      <c r="A89" s="7">
        <v>43525</v>
      </c>
      <c r="B89" s="10">
        <v>1510</v>
      </c>
      <c r="C89" s="9">
        <f t="shared" si="8"/>
        <v>8.4038924439639811</v>
      </c>
      <c r="E89" s="6">
        <f>VLOOKUP(A89,'Retail weightings - HIDE'!$B$3:$D$51,2,TRUE)</f>
        <v>1.9102619773550717</v>
      </c>
      <c r="F89" s="3">
        <v>4.1192251280600267</v>
      </c>
      <c r="G89" s="3">
        <f t="shared" si="10"/>
        <v>4.0658513161355145</v>
      </c>
      <c r="H89" s="4">
        <f t="shared" si="6"/>
        <v>5.5654916847443586E-2</v>
      </c>
      <c r="K89" s="46"/>
      <c r="L89" s="1"/>
      <c r="M89" s="48"/>
    </row>
    <row r="90" spans="1:13">
      <c r="A90" s="7">
        <v>43556</v>
      </c>
      <c r="B90" s="10">
        <v>1500</v>
      </c>
      <c r="C90" s="9">
        <f t="shared" ref="C90" si="11">((B90/1000)*H90)*100</f>
        <v>8.3227023201943826</v>
      </c>
      <c r="E90" s="6">
        <f>VLOOKUP(A90,'Retail weightings - HIDE'!$B$3:$D$51,2,TRUE)</f>
        <v>1.910457668158775</v>
      </c>
      <c r="F90" s="3">
        <v>4.0466606216016023</v>
      </c>
      <c r="G90" s="3">
        <f t="shared" ref="G90:G100" si="12">AVERAGE(F79:F90)</f>
        <v>4.0592615518289854</v>
      </c>
      <c r="H90" s="4">
        <f t="shared" si="6"/>
        <v>5.5484682134629225E-2</v>
      </c>
      <c r="K90" s="46"/>
      <c r="L90" s="1"/>
      <c r="M90" s="48"/>
    </row>
    <row r="91" spans="1:13">
      <c r="A91" s="7">
        <v>43586</v>
      </c>
      <c r="B91" s="10">
        <v>1510</v>
      </c>
      <c r="C91" s="9">
        <f t="shared" ref="C91" si="13">((B91/1000)*H91)*100</f>
        <v>8.3525720629358293</v>
      </c>
      <c r="E91" s="6">
        <f>VLOOKUP(A91,'Retail weightings - HIDE'!$B$3:$D$51,2,TRUE)</f>
        <v>1.910457668158775</v>
      </c>
      <c r="F91" s="3">
        <v>3.9571584261994825</v>
      </c>
      <c r="G91" s="3">
        <f t="shared" si="12"/>
        <v>4.0587324025984932</v>
      </c>
      <c r="H91" s="4">
        <f>(G90-E91)*1.02969/0.4/100</f>
        <v>5.5315046774409467E-2</v>
      </c>
      <c r="K91" s="46"/>
    </row>
    <row r="92" spans="1:13">
      <c r="A92" s="7">
        <v>43617</v>
      </c>
      <c r="B92" s="10">
        <v>1450</v>
      </c>
      <c r="C92" s="9">
        <f t="shared" ref="C92:C93" si="14">((B92/1000)*H92)*100</f>
        <v>8.0187066659814707</v>
      </c>
      <c r="E92" s="6">
        <f>VLOOKUP(A92,'Retail weightings - HIDE'!$B$3:$D$51,2,TRUE)</f>
        <v>1.910457668158775</v>
      </c>
      <c r="F92" s="3">
        <v>3.9707077159879733</v>
      </c>
      <c r="G92" s="3">
        <f t="shared" si="12"/>
        <v>4.0644656844162599</v>
      </c>
      <c r="H92" s="4">
        <f t="shared" ref="H92:H93" si="15">(G91-E92)*1.02969/0.4/100</f>
        <v>5.530142528263083E-2</v>
      </c>
      <c r="M92" s="49"/>
    </row>
    <row r="93" spans="1:13">
      <c r="A93" s="7">
        <v>43647</v>
      </c>
      <c r="B93" s="10">
        <v>1410</v>
      </c>
      <c r="C93" s="9">
        <f t="shared" si="14"/>
        <v>7.8183108127670975</v>
      </c>
      <c r="E93" s="6">
        <f>VLOOKUP(A93,'Retail weightings - HIDE'!$B$3:$D$51,2,TRUE)</f>
        <v>1.910457668158775</v>
      </c>
      <c r="F93" s="3">
        <v>3.9506183384961702</v>
      </c>
      <c r="G93" s="3">
        <f t="shared" si="12"/>
        <v>4.0697384264286187</v>
      </c>
      <c r="H93" s="4">
        <f t="shared" si="15"/>
        <v>5.5449012856504235E-2</v>
      </c>
    </row>
    <row r="94" spans="1:13">
      <c r="A94" s="7">
        <v>43678</v>
      </c>
      <c r="B94" s="10">
        <v>1400</v>
      </c>
      <c r="C94" s="9">
        <f t="shared" ref="C94" si="16">((B94/1000)*H94)*100</f>
        <v>7.7818643139400621</v>
      </c>
      <c r="E94" s="6">
        <f>VLOOKUP(A94,'Retail weightings - HIDE'!$B$3:$D$51,2,TRUE)</f>
        <v>1.910457668158775</v>
      </c>
      <c r="F94" s="3">
        <v>4.0341222384874689</v>
      </c>
      <c r="G94" s="3">
        <f t="shared" si="12"/>
        <v>4.0741987279370093</v>
      </c>
      <c r="H94" s="4">
        <f t="shared" ref="H94" si="17">(G93-E94)*1.02969/0.4/100</f>
        <v>5.5584745099571876E-2</v>
      </c>
    </row>
    <row r="95" spans="1:13">
      <c r="A95" s="7">
        <v>43709</v>
      </c>
      <c r="B95" s="10">
        <v>1590</v>
      </c>
      <c r="C95" s="9">
        <f t="shared" ref="C95" si="18">((B95/1000)*H95)*100</f>
        <v>8.8562305640761227</v>
      </c>
      <c r="E95" s="6">
        <f>VLOOKUP(A95,'Retail weightings - HIDE'!$B$3:$D$51,2,TRUE)</f>
        <v>1.910457668158775</v>
      </c>
      <c r="F95" s="3">
        <v>4.1432595237173482</v>
      </c>
      <c r="G95" s="3">
        <f t="shared" si="12"/>
        <v>4.0790457984874644</v>
      </c>
      <c r="H95" s="4">
        <f>(G94-E95)*1.02969/0.4/100</f>
        <v>5.569956329607624E-2</v>
      </c>
    </row>
    <row r="96" spans="1:13">
      <c r="A96" s="7">
        <v>43739</v>
      </c>
      <c r="B96" s="10">
        <v>1490</v>
      </c>
      <c r="C96" s="9">
        <f t="shared" ref="C96" si="19">((B96/1000)*H96)*100</f>
        <v>8.2901485925356173</v>
      </c>
      <c r="E96" s="6">
        <f>VLOOKUP(A96,'Retail weightings - HIDE'!$B$3:$D$51,2,TRUE)</f>
        <v>1.9176736900681475</v>
      </c>
      <c r="F96" s="3">
        <v>4.2335494244117804</v>
      </c>
      <c r="G96" s="3">
        <f t="shared" si="12"/>
        <v>4.0842262504863269</v>
      </c>
      <c r="H96" s="4">
        <f t="shared" ref="H96" si="20">(G95-E96)*1.02969/0.4/100</f>
        <v>5.5638581157957168E-2</v>
      </c>
      <c r="I96" s="5"/>
    </row>
    <row r="97" spans="1:9">
      <c r="A97" s="7">
        <v>43770</v>
      </c>
      <c r="B97" s="10">
        <v>1550</v>
      </c>
      <c r="C97" s="9">
        <f t="shared" ref="C97" si="21">((B97/1000)*H97)*100</f>
        <v>8.6446503355058582</v>
      </c>
      <c r="E97" s="6">
        <f>VLOOKUP(A97,'Retail weightings - HIDE'!$B$3:$D$51,2,TRUE)</f>
        <v>1.9176736900681475</v>
      </c>
      <c r="F97" s="3">
        <v>4.3143160893458194</v>
      </c>
      <c r="G97" s="3">
        <f t="shared" si="12"/>
        <v>4.0940966187223493</v>
      </c>
      <c r="H97" s="4">
        <f t="shared" ref="H97" si="22">(G96-E97)*1.02969/0.4/100</f>
        <v>5.5771937648424884E-2</v>
      </c>
    </row>
    <row r="98" spans="1:9">
      <c r="A98" s="7">
        <v>43800</v>
      </c>
      <c r="B98" s="10">
        <v>1320</v>
      </c>
      <c r="C98" s="9">
        <f t="shared" ref="C98:C103" si="23">((B98/1000)*H98)*100</f>
        <v>7.395435053839619</v>
      </c>
      <c r="E98" s="6">
        <f>VLOOKUP(A98,'Retail weightings - HIDE'!$B$3:$D$51,2,TRUE)</f>
        <v>1.9176736900681475</v>
      </c>
      <c r="F98" s="3">
        <v>4.2464746457953968</v>
      </c>
      <c r="G98" s="3">
        <f t="shared" si="12"/>
        <v>4.1019743034184222</v>
      </c>
      <c r="H98" s="4">
        <f t="shared" ref="H98:H103" si="24">(G97-E98)*1.02969/0.4/100</f>
        <v>5.6026023135148623E-2</v>
      </c>
      <c r="I98" s="5" t="s">
        <v>56</v>
      </c>
    </row>
    <row r="99" spans="1:9">
      <c r="A99" s="7">
        <v>43831</v>
      </c>
      <c r="B99" s="10">
        <v>1300</v>
      </c>
      <c r="C99" s="9">
        <f t="shared" si="23"/>
        <v>7.3097456203220945</v>
      </c>
      <c r="E99" s="6">
        <f>VLOOKUP(A99,'Retail weightings - HIDE'!$B$3:$D$51,2,TRUE)</f>
        <v>1.9176736900681475</v>
      </c>
      <c r="F99" s="3">
        <v>4.1660095744320369</v>
      </c>
      <c r="G99" s="3">
        <f t="shared" si="12"/>
        <v>4.106882350314069</v>
      </c>
      <c r="H99" s="4">
        <f t="shared" si="24"/>
        <v>5.6228812464016106E-2</v>
      </c>
    </row>
    <row r="100" spans="1:9">
      <c r="A100" s="7">
        <v>43862</v>
      </c>
      <c r="B100" s="10">
        <v>1250</v>
      </c>
      <c r="C100" s="9">
        <f t="shared" si="23"/>
        <v>7.0237273038581325</v>
      </c>
      <c r="E100" s="6">
        <f>VLOOKUP(A100,'Retail weightings - HIDE'!$B$3:$D$51,2,TRUE)</f>
        <v>1.9240965242551551</v>
      </c>
      <c r="F100" s="3">
        <v>4.1958335694082107</v>
      </c>
      <c r="G100" s="3">
        <f t="shared" si="12"/>
        <v>4.1148279413286089</v>
      </c>
      <c r="H100" s="4">
        <f t="shared" si="24"/>
        <v>5.6189818430865061E-2</v>
      </c>
    </row>
    <row r="101" spans="1:9">
      <c r="A101" s="7">
        <v>43891</v>
      </c>
      <c r="B101" s="10">
        <v>1280</v>
      </c>
      <c r="C101" s="9">
        <f t="shared" si="23"/>
        <v>7.2184775451083665</v>
      </c>
      <c r="E101" s="6">
        <f>VLOOKUP(A101,'Retail weightings - HIDE'!$B$3:$D$51,2,TRUE)</f>
        <v>1.9240965242551551</v>
      </c>
      <c r="F101" s="3">
        <v>4.231140982569678</v>
      </c>
      <c r="G101" s="3">
        <f t="shared" ref="G101:G110" si="25">AVERAGE(F90:F101)</f>
        <v>4.124154262537747</v>
      </c>
      <c r="H101" s="4">
        <f t="shared" si="24"/>
        <v>5.6394355821159106E-2</v>
      </c>
    </row>
    <row r="102" spans="1:9">
      <c r="A102" s="7">
        <v>43922</v>
      </c>
      <c r="B102" s="10">
        <v>900</v>
      </c>
      <c r="C102" s="9">
        <f t="shared" si="23"/>
        <v>5.0970992681974536</v>
      </c>
      <c r="E102" s="6">
        <f>VLOOKUP(A102,'Retail weightings - HIDE'!$B$3:$D$51,2,TRUE)</f>
        <v>1.9240965242551551</v>
      </c>
      <c r="F102" s="3">
        <v>4.13</v>
      </c>
      <c r="G102" s="3">
        <f t="shared" si="25"/>
        <v>4.1310992107376139</v>
      </c>
      <c r="H102" s="4">
        <f t="shared" si="24"/>
        <v>5.6634436313305045E-2</v>
      </c>
    </row>
    <row r="103" spans="1:9">
      <c r="A103" s="7">
        <v>43952</v>
      </c>
      <c r="B103" s="10">
        <v>1170</v>
      </c>
      <c r="C103" s="9">
        <f t="shared" si="23"/>
        <v>6.6471461440140587</v>
      </c>
      <c r="E103" s="6">
        <f>VLOOKUP(A103,'Retail weightings - HIDE'!$B$3:$D$51,2,TRUE)</f>
        <v>1.9240965242551551</v>
      </c>
      <c r="F103" s="3">
        <v>4.0078303957873889</v>
      </c>
      <c r="G103" s="3">
        <f t="shared" si="25"/>
        <v>4.1353218748699394</v>
      </c>
      <c r="H103" s="4">
        <f t="shared" si="24"/>
        <v>5.6813214906103068E-2</v>
      </c>
    </row>
    <row r="104" spans="1:9">
      <c r="A104" s="7">
        <v>43983</v>
      </c>
      <c r="B104" s="10">
        <v>1390</v>
      </c>
      <c r="C104" s="9">
        <f t="shared" ref="C104" si="26">((B104/1000)*H104)*100</f>
        <v>7.9121462936790152</v>
      </c>
      <c r="E104" s="6">
        <f>VLOOKUP(A104,'Retail weightings - HIDE'!$B$3:$D$51,2,TRUE)</f>
        <v>1.9240965242551551</v>
      </c>
      <c r="F104" s="3">
        <v>3.99</v>
      </c>
      <c r="G104" s="3">
        <f t="shared" si="25"/>
        <v>4.1369295652042748</v>
      </c>
      <c r="H104" s="4">
        <f t="shared" ref="H104" si="27">(G103-E104)*1.02969/0.4/100</f>
        <v>5.6921915781863425E-2</v>
      </c>
    </row>
    <row r="105" spans="1:9">
      <c r="A105" s="7">
        <v>44013</v>
      </c>
      <c r="B105" s="10">
        <v>1430</v>
      </c>
      <c r="C105" s="9">
        <f t="shared" ref="C105" si="28">((B105/1000)*H105)*100</f>
        <v>8.1457520928172631</v>
      </c>
      <c r="E105" s="6">
        <f>VLOOKUP(A105,'Retail weightings - HIDE'!$B$3:$D$51,2,TRUE)</f>
        <v>1.9240965242551551</v>
      </c>
      <c r="F105" s="3">
        <v>3.98</v>
      </c>
      <c r="G105" s="3">
        <f t="shared" si="25"/>
        <v>4.1393780369962609</v>
      </c>
      <c r="H105" s="4">
        <f t="shared" ref="H105" si="29">(G104-E105)*1.02969/0.4/100</f>
        <v>5.6963301348372471E-2</v>
      </c>
    </row>
    <row r="106" spans="1:9">
      <c r="A106" s="7">
        <v>44044</v>
      </c>
      <c r="B106" s="10">
        <v>1480</v>
      </c>
      <c r="C106" s="9">
        <f t="shared" ref="C106:C110" si="30">((B106/1000)*H106)*100</f>
        <v>8.389022978995051</v>
      </c>
      <c r="E106" s="6">
        <f>VLOOKUP(A106,'Retail weightings - HIDE'!$B$3:$D$51,2,TRUE)</f>
        <v>1.9374497791356422</v>
      </c>
      <c r="F106" s="3">
        <v>4.04</v>
      </c>
      <c r="G106" s="3">
        <f t="shared" si="25"/>
        <v>4.1398678504556381</v>
      </c>
      <c r="H106" s="4">
        <f t="shared" ref="H106:H112" si="31">(G105-E106)*1.02969/0.4/100</f>
        <v>5.6682587695912508E-2</v>
      </c>
    </row>
    <row r="107" spans="1:9">
      <c r="A107" s="7">
        <v>44075</v>
      </c>
      <c r="B107" s="10">
        <v>1530</v>
      </c>
      <c r="C107" s="9">
        <f t="shared" si="30"/>
        <v>8.6743650792548852</v>
      </c>
      <c r="E107" s="6">
        <f>VLOOKUP(A107,'Retail weightings - HIDE'!$B$3:$D$51,2,TRUE)</f>
        <v>1.9374497791356422</v>
      </c>
      <c r="F107" s="3">
        <v>4.1500000000000004</v>
      </c>
      <c r="G107" s="3">
        <f t="shared" si="25"/>
        <v>4.1404295568125251</v>
      </c>
      <c r="H107" s="4">
        <f t="shared" si="31"/>
        <v>5.669519659643716E-2</v>
      </c>
    </row>
    <row r="108" spans="1:9">
      <c r="A108" s="7">
        <v>44105</v>
      </c>
      <c r="B108" s="10">
        <v>1540</v>
      </c>
      <c r="C108" s="9">
        <f t="shared" si="30"/>
        <v>8.7332870520130204</v>
      </c>
      <c r="E108" s="6">
        <f>VLOOKUP(A108,'Retail weightings - HIDE'!$B$3:$D$51,2,TRUE)</f>
        <v>1.9374497791356422</v>
      </c>
      <c r="F108" s="3">
        <v>4.28</v>
      </c>
      <c r="G108" s="3">
        <f t="shared" si="25"/>
        <v>4.1443004381115438</v>
      </c>
      <c r="H108" s="4">
        <f t="shared" si="31"/>
        <v>5.6709656181902733E-2</v>
      </c>
    </row>
    <row r="109" spans="1:9">
      <c r="A109" s="7">
        <v>44136</v>
      </c>
      <c r="B109" s="10">
        <v>1370</v>
      </c>
      <c r="C109" s="9">
        <f t="shared" si="30"/>
        <v>7.7828742885150692</v>
      </c>
      <c r="E109" s="6">
        <f>VLOOKUP(A109,'Retail weightings - HIDE'!$B$3:$D$51,2,TRUE)</f>
        <v>1.9374497791356422</v>
      </c>
      <c r="F109" s="3">
        <v>4.3099999999999996</v>
      </c>
      <c r="G109" s="3">
        <f t="shared" si="25"/>
        <v>4.1439407639993924</v>
      </c>
      <c r="H109" s="4">
        <f t="shared" si="31"/>
        <v>5.68093013760224E-2</v>
      </c>
    </row>
    <row r="110" spans="1:9">
      <c r="A110" s="7">
        <v>44166</v>
      </c>
      <c r="B110" s="10">
        <v>1150</v>
      </c>
      <c r="C110" s="9">
        <f t="shared" si="30"/>
        <v>6.5320048938375201</v>
      </c>
      <c r="E110" s="6">
        <f>VLOOKUP(A110,'Retail weightings - HIDE'!$B$3:$D$51,2,TRUE)</f>
        <v>1.9374497791356422</v>
      </c>
      <c r="F110" s="3">
        <v>4.3004554636216596</v>
      </c>
      <c r="G110" s="3">
        <f t="shared" si="25"/>
        <v>4.1484391654849153</v>
      </c>
      <c r="H110" s="4">
        <f t="shared" si="31"/>
        <v>5.6800042555108871E-2</v>
      </c>
    </row>
    <row r="111" spans="1:9">
      <c r="A111" s="7">
        <v>44197</v>
      </c>
      <c r="B111" s="10">
        <v>1237</v>
      </c>
      <c r="C111" s="9">
        <f t="shared" ref="C111:C115" si="32">((B111/1000)*H111)*100</f>
        <v>7.0404895973537229</v>
      </c>
      <c r="E111" s="6">
        <f>VLOOKUP(A111,'Retail weightings - HIDE'!$B$3:$D$51,2,TRUE)</f>
        <v>1.9374497791356422</v>
      </c>
      <c r="F111" s="3">
        <v>4.32</v>
      </c>
      <c r="G111" s="3">
        <f t="shared" ref="G111:G119" si="33">AVERAGE(F100:F111)</f>
        <v>4.1612717009489115</v>
      </c>
      <c r="H111" s="4">
        <f t="shared" si="31"/>
        <v>5.6915841530749578E-2</v>
      </c>
    </row>
    <row r="112" spans="1:9">
      <c r="A112" s="7">
        <v>44228</v>
      </c>
      <c r="B112" s="10">
        <v>1335</v>
      </c>
      <c r="C112" s="9">
        <f t="shared" si="32"/>
        <v>7.6181182006241492</v>
      </c>
      <c r="E112" s="6">
        <f>VLOOKUP(A112,'Retail weightings - HIDE'!$B$3:$D$51,2,TRUE)</f>
        <v>1.9445052640632972</v>
      </c>
      <c r="F112" s="3">
        <v>4.29</v>
      </c>
      <c r="G112" s="3">
        <f t="shared" si="33"/>
        <v>4.1691189034982274</v>
      </c>
      <c r="H112" s="4">
        <f t="shared" si="31"/>
        <v>5.7064555809918718E-2</v>
      </c>
    </row>
    <row r="113" spans="1:16">
      <c r="A113" s="7">
        <v>44256</v>
      </c>
      <c r="B113" s="10">
        <v>1471</v>
      </c>
      <c r="C113" s="9">
        <f t="shared" si="32"/>
        <v>8.4239110436283191</v>
      </c>
      <c r="E113" s="6">
        <f>VLOOKUP(A113,'Retail weightings - HIDE'!$B$3:$D$51,2,TRUE)</f>
        <v>1.9445052640632972</v>
      </c>
      <c r="F113" s="3">
        <v>4.25</v>
      </c>
      <c r="G113" s="3">
        <f t="shared" si="33"/>
        <v>4.1706904882840874</v>
      </c>
      <c r="H113" s="4">
        <f t="shared" ref="H113:H119" si="34">(G112-E113)*1.02969/0.4/100</f>
        <v>5.7266560459743834E-2</v>
      </c>
    </row>
    <row r="114" spans="1:16">
      <c r="A114" s="7">
        <v>44287</v>
      </c>
      <c r="B114" s="10">
        <v>1405</v>
      </c>
      <c r="C114" s="9">
        <f t="shared" si="32"/>
        <v>8.0516358306417679</v>
      </c>
      <c r="E114" s="6">
        <f>VLOOKUP(A114,'Retail weightings - HIDE'!$B$3:$D$51,2,TRUE)</f>
        <v>1.9445052640632972</v>
      </c>
      <c r="F114" s="3">
        <v>4.17</v>
      </c>
      <c r="G114" s="3">
        <f t="shared" si="33"/>
        <v>4.1740238216174212</v>
      </c>
      <c r="H114" s="4">
        <f t="shared" si="34"/>
        <v>5.7307016588197639E-2</v>
      </c>
    </row>
    <row r="115" spans="1:16">
      <c r="A115" s="7">
        <v>44317</v>
      </c>
      <c r="B115" s="10">
        <v>1348</v>
      </c>
      <c r="C115" s="9">
        <f t="shared" si="32"/>
        <v>7.7365526870890449</v>
      </c>
      <c r="E115" s="6">
        <f>VLOOKUP(A115,'Retail weightings - HIDE'!$B$3:$D$51,2,TRUE)</f>
        <v>1.9445052640632972</v>
      </c>
      <c r="F115" s="3">
        <v>4.09</v>
      </c>
      <c r="G115" s="3">
        <f t="shared" si="33"/>
        <v>4.1808712886351387</v>
      </c>
      <c r="H115" s="4">
        <f t="shared" si="34"/>
        <v>5.739282408819766E-2</v>
      </c>
    </row>
    <row r="116" spans="1:16">
      <c r="A116" s="7">
        <v>44348</v>
      </c>
      <c r="B116" s="10">
        <v>1433</v>
      </c>
      <c r="C116" s="9">
        <f t="shared" ref="C116:C121" si="35">((B116/1000)*H116)*100</f>
        <v>8.2496510693217431</v>
      </c>
      <c r="E116" s="6">
        <f>VLOOKUP(A116,'Retail weightings - HIDE'!$B$3:$D$51,2,TRUE)</f>
        <v>1.9445052640632972</v>
      </c>
      <c r="F116" s="3">
        <v>4.0199999999999996</v>
      </c>
      <c r="G116" s="3">
        <f t="shared" si="33"/>
        <v>4.1833712886351373</v>
      </c>
      <c r="H116" s="4">
        <f t="shared" si="34"/>
        <v>5.756909329603449E-2</v>
      </c>
    </row>
    <row r="117" spans="1:16">
      <c r="A117" s="7">
        <v>44378</v>
      </c>
      <c r="B117" s="10">
        <v>1508</v>
      </c>
      <c r="C117" s="9">
        <f t="shared" si="35"/>
        <v>8.6911240972919952</v>
      </c>
      <c r="E117" s="6">
        <f>VLOOKUP(A117,'Retail weightings - HIDE'!$B$3:$D$51,2,TRUE)</f>
        <v>1.9445052640632972</v>
      </c>
      <c r="F117" s="3">
        <v>4.01</v>
      </c>
      <c r="G117" s="3">
        <f t="shared" si="33"/>
        <v>4.1858712886351386</v>
      </c>
      <c r="H117" s="4">
        <f t="shared" si="34"/>
        <v>5.7633448921034454E-2</v>
      </c>
      <c r="P117" t="s">
        <v>57</v>
      </c>
    </row>
    <row r="118" spans="1:16">
      <c r="A118" s="7">
        <v>44409</v>
      </c>
      <c r="B118" s="10">
        <v>1563</v>
      </c>
      <c r="C118" s="9">
        <f t="shared" si="35"/>
        <v>9.0181668505451889</v>
      </c>
      <c r="E118" s="6">
        <f>VLOOKUP(A118,'Retail weightings - HIDE'!$B$3:$D$51,2,TRUE)</f>
        <v>1.9445052640632972</v>
      </c>
      <c r="F118" s="3">
        <v>4.09</v>
      </c>
      <c r="G118" s="3">
        <f t="shared" si="33"/>
        <v>4.1900379553018041</v>
      </c>
      <c r="H118" s="4">
        <f t="shared" si="34"/>
        <v>5.7697804546034487E-2</v>
      </c>
      <c r="P118" t="s">
        <v>58</v>
      </c>
    </row>
    <row r="119" spans="1:16">
      <c r="A119" s="7">
        <v>44440</v>
      </c>
      <c r="B119" s="10">
        <v>1656</v>
      </c>
      <c r="C119" s="9">
        <f t="shared" si="35"/>
        <v>9.572518585323305</v>
      </c>
      <c r="E119" s="6">
        <f>VLOOKUP(A119,'Retail weightings - HIDE'!$B$3:$D$51,2,TRUE)</f>
        <v>1.9445052640632972</v>
      </c>
      <c r="F119" s="3">
        <v>4.16</v>
      </c>
      <c r="G119" s="3">
        <f t="shared" si="33"/>
        <v>4.1908712886351367</v>
      </c>
      <c r="H119" s="4">
        <f t="shared" si="34"/>
        <v>5.7805063921034454E-2</v>
      </c>
      <c r="I119" s="5"/>
    </row>
    <row r="120" spans="1:16">
      <c r="A120" s="7">
        <v>44470</v>
      </c>
      <c r="B120" s="10">
        <v>1855</v>
      </c>
      <c r="C120" s="9">
        <f t="shared" si="35"/>
        <v>10.712373936957032</v>
      </c>
      <c r="E120" s="6">
        <f>VLOOKUP(A120,'Retail weightings - HIDE'!$B$3:$D$51,2,TRUE)</f>
        <v>1.9475302224728834</v>
      </c>
      <c r="F120" s="3">
        <v>4.32</v>
      </c>
      <c r="G120" s="3">
        <f t="shared" ref="G120" si="36">AVERAGE(F109:F120)</f>
        <v>4.1942046219684714</v>
      </c>
      <c r="H120" s="4">
        <f t="shared" ref="H120" si="37">(G119-E120)*1.02969/0.4/100</f>
        <v>5.774864656041527E-2</v>
      </c>
    </row>
    <row r="121" spans="1:16">
      <c r="A121" s="7">
        <v>44501</v>
      </c>
      <c r="B121" s="10">
        <v>2139</v>
      </c>
      <c r="C121" s="9">
        <f t="shared" si="35"/>
        <v>12.370789723522831</v>
      </c>
      <c r="E121" s="6">
        <f>VLOOKUP(A121,'Retail weightings - HIDE'!$B$3:$D$51,2,TRUE)</f>
        <v>1.9475302224728834</v>
      </c>
      <c r="F121" s="3">
        <v>4.3600000000000003</v>
      </c>
      <c r="G121" s="3">
        <f t="shared" ref="G121" si="38">AVERAGE(F110:F121)</f>
        <v>4.1983712886351379</v>
      </c>
      <c r="H121" s="4">
        <f t="shared" ref="H121" si="39">(G120-E121)*1.02969/0.4/100</f>
        <v>5.7834454060415305E-2</v>
      </c>
    </row>
    <row r="122" spans="1:16">
      <c r="A122" s="7">
        <v>44531</v>
      </c>
      <c r="B122" s="10">
        <v>2054</v>
      </c>
      <c r="C122" s="9">
        <f t="shared" ref="C122:C124" si="40">((B122/1000)*H122)*100</f>
        <v>11.901227939634301</v>
      </c>
      <c r="E122" s="6">
        <f>VLOOKUP(A122,'Retail weightings - HIDE'!$B$3:$D$51,2,TRUE)</f>
        <v>1.9475302224728834</v>
      </c>
      <c r="F122" s="3">
        <v>4.34</v>
      </c>
      <c r="G122" s="3">
        <f t="shared" ref="G122" si="41">AVERAGE(F111:F122)</f>
        <v>4.2016666666666653</v>
      </c>
      <c r="H122" s="4">
        <f t="shared" ref="H122:H127" si="42">(G121-E122)*1.02969/0.4/100</f>
        <v>5.79417134354153E-2</v>
      </c>
    </row>
    <row r="123" spans="1:16">
      <c r="A123" s="7">
        <v>44562</v>
      </c>
      <c r="B123" s="10">
        <v>2155</v>
      </c>
      <c r="C123" s="9">
        <f t="shared" si="40"/>
        <v>12.504720206257957</v>
      </c>
      <c r="E123" s="6">
        <f>VLOOKUP(A123,'Retail weightings - HIDE'!$B$3:$D$51,2,TRUE)</f>
        <v>1.9475302224728834</v>
      </c>
      <c r="F123" s="3">
        <v>4.26</v>
      </c>
      <c r="G123" s="3">
        <f t="shared" ref="G123:G127" si="43">AVERAGE(F112:F123)</f>
        <v>4.1966666666666663</v>
      </c>
      <c r="H123" s="4">
        <f t="shared" si="42"/>
        <v>5.8026543880547378E-2</v>
      </c>
    </row>
    <row r="124" spans="1:16">
      <c r="A124" s="7">
        <v>44593</v>
      </c>
      <c r="B124" s="10">
        <v>2239</v>
      </c>
      <c r="C124" s="9">
        <f t="shared" si="40"/>
        <v>12.963324725979565</v>
      </c>
      <c r="E124" s="6">
        <f>VLOOKUP(A124,'Retail weightings - HIDE'!$B$3:$D$51,2,TRUE)</f>
        <v>1.9475302224728834</v>
      </c>
      <c r="F124" s="3">
        <v>4.2699999999999996</v>
      </c>
      <c r="G124" s="3">
        <f t="shared" si="43"/>
        <v>4.1950000000000003</v>
      </c>
      <c r="H124" s="4">
        <f t="shared" si="42"/>
        <v>5.7897832630547402E-2</v>
      </c>
    </row>
    <row r="125" spans="1:16">
      <c r="A125" s="7">
        <v>44621</v>
      </c>
      <c r="B125" s="10">
        <v>2330</v>
      </c>
      <c r="C125" s="9">
        <f t="shared" ref="C125" si="44">((B125/1000)*H125)*100</f>
        <v>13.480198429167551</v>
      </c>
      <c r="E125" s="6">
        <f>VLOOKUP(A125,'Retail weightings - HIDE'!$B$3:$D$51,2,TRUE)</f>
        <v>1.9475302224728834</v>
      </c>
      <c r="F125" s="3">
        <v>4.28</v>
      </c>
      <c r="G125" s="3">
        <f t="shared" si="43"/>
        <v>4.1975000000000007</v>
      </c>
      <c r="H125" s="4">
        <f t="shared" si="42"/>
        <v>5.785492888054742E-2</v>
      </c>
    </row>
    <row r="126" spans="1:16">
      <c r="A126" s="7">
        <v>44652</v>
      </c>
      <c r="B126" s="10">
        <v>2612</v>
      </c>
      <c r="C126" s="9">
        <f t="shared" ref="C126:C127" si="45">((B126/1000)*H126)*100</f>
        <v>15.128517112848991</v>
      </c>
      <c r="E126" s="6">
        <f>VLOOKUP(A126,'Retail weightings - HIDE'!$B$3:$D$51,2,TRUE)</f>
        <v>1.9475302224728834</v>
      </c>
      <c r="F126" s="3">
        <v>4.18</v>
      </c>
      <c r="G126" s="3">
        <f t="shared" si="43"/>
        <v>4.1983333333333333</v>
      </c>
      <c r="H126" s="4">
        <f t="shared" si="42"/>
        <v>5.7919284505547439E-2</v>
      </c>
    </row>
    <row r="127" spans="1:16">
      <c r="A127" s="7">
        <v>44682</v>
      </c>
      <c r="B127" s="10">
        <v>2579</v>
      </c>
      <c r="C127" s="9">
        <f t="shared" si="45"/>
        <v>14.942915912543178</v>
      </c>
      <c r="E127" s="6">
        <f>VLOOKUP(A127,'Retail weightings - HIDE'!$B$3:$D$51,2,TRUE)</f>
        <v>1.9475302224728834</v>
      </c>
      <c r="F127" s="3">
        <v>4.09</v>
      </c>
      <c r="G127" s="3">
        <f t="shared" si="43"/>
        <v>4.1983333333333333</v>
      </c>
      <c r="H127" s="4">
        <f t="shared" si="42"/>
        <v>5.7940736380547413E-2</v>
      </c>
    </row>
    <row r="128" spans="1:16">
      <c r="A128" s="7">
        <v>44713</v>
      </c>
      <c r="B128" s="10">
        <v>2734</v>
      </c>
      <c r="C128" s="9">
        <f>((B128/1000)*H128)*100</f>
        <v>15.77545475327566</v>
      </c>
      <c r="E128" s="6">
        <f>VLOOKUP(A128,'Retail weightings - HIDE'!$B$3:$D$51,2,TRUE)</f>
        <v>1.9568429838183823</v>
      </c>
      <c r="F128" s="3">
        <v>4.07</v>
      </c>
      <c r="G128" s="3">
        <f>AVERAGE(F117:F128)</f>
        <v>4.2024999999999997</v>
      </c>
      <c r="H128" s="4">
        <f t="shared" ref="H128:H129" si="46">(G127-E128)*1.02969/0.4/100</f>
        <v>5.7701004949801245E-2</v>
      </c>
    </row>
    <row r="129" spans="1:9">
      <c r="A129" s="7">
        <v>44743</v>
      </c>
      <c r="B129" s="10">
        <v>2850</v>
      </c>
      <c r="C129" s="9">
        <f>((B129/1000)*H129)*100</f>
        <v>16.475355332568352</v>
      </c>
      <c r="E129" s="6">
        <f>VLOOKUP(A129,'Retail weightings - HIDE'!$B$3:$D$51,2,TRUE)</f>
        <v>1.9568429838183823</v>
      </c>
      <c r="F129" s="3">
        <v>4.04</v>
      </c>
      <c r="G129" s="3">
        <f>AVERAGE(F118:F129)</f>
        <v>4.2049999999999992</v>
      </c>
      <c r="H129" s="4">
        <f t="shared" si="46"/>
        <v>5.780826432480124E-2</v>
      </c>
    </row>
    <row r="130" spans="1:9">
      <c r="A130" s="7">
        <v>44774</v>
      </c>
      <c r="B130" s="10">
        <v>2774</v>
      </c>
      <c r="C130" s="9">
        <f>((B130/1000)*H130)*100</f>
        <v>16.05386477407486</v>
      </c>
      <c r="E130" s="6">
        <f>VLOOKUP(A130,'Retail weightings - HIDE'!$B$3:$D$51,2,TRUE)</f>
        <v>1.9568429838183823</v>
      </c>
      <c r="F130" s="3">
        <v>4.07</v>
      </c>
      <c r="G130" s="3">
        <f t="shared" ref="G130" si="47">AVERAGE(F119:F130)</f>
        <v>4.203333333333334</v>
      </c>
      <c r="H130" s="4">
        <f t="shared" ref="H130" si="48">(G129-E130)*1.02969/0.4/100</f>
        <v>5.7872619949801224E-2</v>
      </c>
    </row>
    <row r="131" spans="1:9">
      <c r="A131" s="7">
        <v>44805</v>
      </c>
      <c r="B131" s="10">
        <v>2858</v>
      </c>
      <c r="C131" s="9">
        <f t="shared" ref="C131:C132" si="49">((B131/1000)*H131)*100</f>
        <v>16.527732889903199</v>
      </c>
      <c r="E131" s="6">
        <f>VLOOKUP(A131,'Retail weightings - HIDE'!$B$3:$D$51,2,TRUE)</f>
        <v>1.9568429838183823</v>
      </c>
      <c r="F131" s="3">
        <v>4.21</v>
      </c>
      <c r="G131" s="3">
        <f t="shared" ref="G131:G132" si="50">AVERAGE(F120:F131)</f>
        <v>4.2075000000000005</v>
      </c>
      <c r="H131" s="4">
        <f t="shared" ref="H131:H132" si="51">(G130-E131)*1.02969/0.4/100</f>
        <v>5.7829716199801255E-2</v>
      </c>
    </row>
    <row r="132" spans="1:9">
      <c r="A132" s="7">
        <v>44835</v>
      </c>
      <c r="B132" s="10">
        <v>2807</v>
      </c>
      <c r="C132" s="9">
        <f t="shared" si="49"/>
        <v>16.262909043846712</v>
      </c>
      <c r="E132" s="6">
        <f>VLOOKUP(A132,'Retail weightings - HIDE'!$B$3:$D$51,2,TRUE)</f>
        <v>1.9568429838183823</v>
      </c>
      <c r="F132" s="3">
        <v>4.32</v>
      </c>
      <c r="G132" s="3">
        <f t="shared" si="50"/>
        <v>4.2074999999999996</v>
      </c>
      <c r="H132" s="4">
        <f t="shared" si="51"/>
        <v>5.7936975574801257E-2</v>
      </c>
    </row>
    <row r="133" spans="1:9">
      <c r="A133" s="7">
        <v>44866</v>
      </c>
      <c r="B133" s="10">
        <v>2357</v>
      </c>
      <c r="C133" s="9">
        <f t="shared" ref="C133" si="52">((B133/1000)*H133)*100</f>
        <v>13.655745142980654</v>
      </c>
      <c r="E133" s="6">
        <f>VLOOKUP(A133,'Retail weightings - HIDE'!$B$3:$D$51,2,TRUE)</f>
        <v>1.9568429838183823</v>
      </c>
      <c r="F133" s="3">
        <v>4.3224188417805829</v>
      </c>
      <c r="G133" s="3">
        <f t="shared" ref="G133" si="53">AVERAGE(F122:F133)</f>
        <v>4.204368236815049</v>
      </c>
      <c r="H133" s="4">
        <f>(G132-E133)*1.02969/0.4/100</f>
        <v>5.7936975574801243E-2</v>
      </c>
    </row>
    <row r="134" spans="1:9">
      <c r="A134" s="7">
        <v>44896</v>
      </c>
      <c r="B134" s="10">
        <v>2042</v>
      </c>
      <c r="C134" s="9">
        <f t="shared" ref="C134" si="54">((B134/1000)*H134)*100</f>
        <v>11.814268087955291</v>
      </c>
      <c r="E134" s="6">
        <f>VLOOKUP(A134,'Retail weightings - HIDE'!$B$3:$D$51,2,TRUE)</f>
        <v>1.9568429838183823</v>
      </c>
      <c r="F134" s="3">
        <v>4.3823179665668697</v>
      </c>
      <c r="G134" s="3">
        <f t="shared" ref="G134:G139" si="55">AVERAGE(F123:F134)</f>
        <v>4.2078947340289545</v>
      </c>
      <c r="H134" s="4">
        <f t="shared" ref="H134" si="56">(G133-E134)*1.02969/0.4/100</f>
        <v>5.7856356943953441E-2</v>
      </c>
    </row>
    <row r="135" spans="1:9">
      <c r="A135" s="7">
        <v>44927</v>
      </c>
      <c r="B135" s="10">
        <v>1747</v>
      </c>
      <c r="C135" s="9">
        <f t="shared" ref="C135:C140" si="57">((B135/1000)*H135)*100</f>
        <v>10.095716870077839</v>
      </c>
      <c r="E135" s="6">
        <f>VLOOKUP(A135,'Retail weightings - HIDE'!$B$3:$D$51,2,TRUE)</f>
        <v>1.9629908373992628</v>
      </c>
      <c r="F135" s="3">
        <v>4.33</v>
      </c>
      <c r="G135" s="3">
        <f t="shared" si="55"/>
        <v>4.213728067362287</v>
      </c>
      <c r="H135" s="4">
        <f t="shared" ref="H135:H140" si="58">(G134-E135)*1.02969/0.4/100</f>
        <v>5.7788877333015673E-2</v>
      </c>
    </row>
    <row r="136" spans="1:9">
      <c r="A136" s="7">
        <v>44958</v>
      </c>
      <c r="B136" s="10">
        <v>1508</v>
      </c>
      <c r="C136" s="9">
        <f t="shared" si="57"/>
        <v>8.7372073010687608</v>
      </c>
      <c r="E136" s="6">
        <f>VLOOKUP(A136,'Retail weightings - HIDE'!$B$3:$D$51,2,TRUE)</f>
        <v>1.9629908373992628</v>
      </c>
      <c r="F136" s="3">
        <v>4.3</v>
      </c>
      <c r="G136" s="3">
        <f t="shared" si="55"/>
        <v>4.2162280673622874</v>
      </c>
      <c r="H136" s="4">
        <f t="shared" si="58"/>
        <v>5.7939040458015657E-2</v>
      </c>
      <c r="I136" s="5"/>
    </row>
    <row r="137" spans="1:9">
      <c r="A137" s="7">
        <v>44986</v>
      </c>
      <c r="B137" s="10">
        <v>1610</v>
      </c>
      <c r="C137" s="9">
        <f t="shared" si="57"/>
        <v>9.3385467693655215</v>
      </c>
      <c r="E137" s="6">
        <f>VLOOKUP(A137,'Retail weightings - HIDE'!$B$3:$D$51,2,TRUE)</f>
        <v>1.9629908373992628</v>
      </c>
      <c r="F137" s="3">
        <v>4.33</v>
      </c>
      <c r="G137" s="3">
        <f t="shared" si="55"/>
        <v>4.2203947340289538</v>
      </c>
      <c r="H137" s="4">
        <f t="shared" si="58"/>
        <v>5.8003396083015663E-2</v>
      </c>
      <c r="I137" s="116"/>
    </row>
    <row r="138" spans="1:9">
      <c r="A138" s="7">
        <v>45017</v>
      </c>
      <c r="B138" s="10">
        <v>1518</v>
      </c>
      <c r="C138" s="9">
        <f t="shared" si="57"/>
        <v>8.8211974985267769</v>
      </c>
      <c r="E138" s="6">
        <f>VLOOKUP(A138,'Retail weightings - HIDE'!$B$3:$D$51,2,TRUE)</f>
        <v>1.9629908373992628</v>
      </c>
      <c r="F138" s="3">
        <v>4.2699999999999996</v>
      </c>
      <c r="G138" s="3">
        <f t="shared" si="55"/>
        <v>4.2278947340289541</v>
      </c>
      <c r="H138" s="4">
        <f t="shared" si="58"/>
        <v>5.8110655458015657E-2</v>
      </c>
      <c r="I138" s="116"/>
    </row>
    <row r="139" spans="1:9">
      <c r="A139" s="7">
        <v>45047</v>
      </c>
      <c r="B139" s="10">
        <v>1490</v>
      </c>
      <c r="C139" s="9">
        <f t="shared" si="57"/>
        <v>8.6872546276193354</v>
      </c>
      <c r="E139" s="6">
        <f>VLOOKUP(A139,'Retail weightings - HIDE'!$B$3:$D$51,2,TRUE)</f>
        <v>1.9629908373992628</v>
      </c>
      <c r="F139" s="3">
        <v>4.07</v>
      </c>
      <c r="G139" s="3">
        <f t="shared" si="55"/>
        <v>4.2262280673622872</v>
      </c>
      <c r="H139" s="4">
        <f>(G138-E139)*1.02969/0.4/100</f>
        <v>5.8303722333015673E-2</v>
      </c>
    </row>
    <row r="140" spans="1:9">
      <c r="A140" s="7">
        <v>45078</v>
      </c>
      <c r="B140" s="10">
        <v>1622</v>
      </c>
      <c r="C140" s="9">
        <f t="shared" si="57"/>
        <v>9.449904774165141</v>
      </c>
      <c r="E140" s="6">
        <f>VLOOKUP(A140,'Retail weightings - HIDE'!$B$3:$D$51,2,TRUE)</f>
        <v>1.9629908373992628</v>
      </c>
      <c r="F140" s="3">
        <v>4.05</v>
      </c>
      <c r="G140" s="3">
        <f t="shared" ref="G140:G145" si="59">AVERAGE(F129:F140)</f>
        <v>4.2245614006956211</v>
      </c>
      <c r="H140" s="4">
        <f t="shared" si="58"/>
        <v>5.8260818583015662E-2</v>
      </c>
    </row>
    <row r="141" spans="1:9">
      <c r="A141" s="7">
        <v>45108</v>
      </c>
      <c r="B141" s="10">
        <v>1644</v>
      </c>
      <c r="C141" s="9">
        <f t="shared" ref="C141:C146" si="60">((B141/1000)*H141)*100</f>
        <v>9.5710251985477779</v>
      </c>
      <c r="E141" s="6">
        <f>VLOOKUP(A141,'Retail weightings - HIDE'!$B$3:$D$51,2,TRUE)</f>
        <v>1.9629908373992628</v>
      </c>
      <c r="F141" s="3">
        <v>4.1399999999999997</v>
      </c>
      <c r="G141" s="3">
        <f t="shared" si="59"/>
        <v>4.2328947340289549</v>
      </c>
      <c r="H141" s="4">
        <f t="shared" ref="H141:H146" si="61">(G140-E141)*1.02969/0.4/100</f>
        <v>5.821791483301568E-2</v>
      </c>
    </row>
    <row r="142" spans="1:9">
      <c r="A142" s="7">
        <v>45139</v>
      </c>
      <c r="B142" s="10">
        <v>1623</v>
      </c>
      <c r="C142" s="9">
        <f t="shared" si="60"/>
        <v>9.2790126602754679</v>
      </c>
      <c r="E142" s="6">
        <f>VLOOKUP(A142,'Retail weightings - HIDE'!$B$3:$D$51,2,TRUE)</f>
        <v>2.0119551546567287</v>
      </c>
      <c r="F142" s="3">
        <v>4.1500000000000004</v>
      </c>
      <c r="G142" s="3">
        <f t="shared" si="59"/>
        <v>4.2395614006956208</v>
      </c>
      <c r="H142" s="4">
        <f t="shared" si="61"/>
        <v>5.7171981887094693E-2</v>
      </c>
    </row>
    <row r="143" spans="1:9">
      <c r="A143" s="7">
        <v>45170</v>
      </c>
      <c r="B143" s="10">
        <v>1648</v>
      </c>
      <c r="C143" s="9">
        <f t="shared" si="60"/>
        <v>9.4502247669932</v>
      </c>
      <c r="E143" s="6">
        <f>VLOOKUP(A143,'Retail weightings - HIDE'!$B$3:$D$51,2,TRUE)</f>
        <v>2.0119551546567287</v>
      </c>
      <c r="F143" s="3">
        <v>4.1900000000000004</v>
      </c>
      <c r="G143" s="3">
        <f t="shared" si="59"/>
        <v>4.2378947340289539</v>
      </c>
      <c r="H143" s="4">
        <f t="shared" si="61"/>
        <v>5.7343596887094665E-2</v>
      </c>
    </row>
    <row r="144" spans="1:9">
      <c r="A144" s="7">
        <v>45200</v>
      </c>
      <c r="B144" s="10">
        <v>1791</v>
      </c>
      <c r="C144" s="9">
        <f t="shared" si="60"/>
        <v>10.262554140853652</v>
      </c>
      <c r="E144" s="6">
        <f>VLOOKUP(A144,'Retail weightings - HIDE'!$B$3:$D$51,2,TRUE)</f>
        <v>2.0119551546567287</v>
      </c>
      <c r="F144" s="3">
        <v>4.3</v>
      </c>
      <c r="G144" s="3">
        <f>AVERAGE(F133:F144)</f>
        <v>4.236228067362287</v>
      </c>
      <c r="H144" s="4">
        <f t="shared" si="61"/>
        <v>5.7300693137094655E-2</v>
      </c>
    </row>
    <row r="145" spans="1:9">
      <c r="A145" s="7">
        <v>45231</v>
      </c>
      <c r="B145" s="10">
        <v>1985</v>
      </c>
      <c r="C145" s="9">
        <f>((B145/1000)*H145)*100</f>
        <v>11.36567119333829</v>
      </c>
      <c r="E145" s="6">
        <f>VLOOKUP(A145,'Retail weightings - HIDE'!$B$3:$D$51,2,TRUE)</f>
        <v>2.0119551546567287</v>
      </c>
      <c r="F145" s="3">
        <v>4.38</v>
      </c>
      <c r="G145" s="3">
        <f t="shared" si="59"/>
        <v>4.2410264972139053</v>
      </c>
      <c r="H145" s="4">
        <f t="shared" si="61"/>
        <v>5.7257789387094658E-2</v>
      </c>
    </row>
    <row r="146" spans="1:9">
      <c r="A146" s="7">
        <v>45261</v>
      </c>
      <c r="B146" s="10">
        <v>2054</v>
      </c>
      <c r="C146" s="9">
        <f t="shared" si="60"/>
        <v>11.67896112549497</v>
      </c>
      <c r="E146" s="6">
        <f>VLOOKUP(A146,'Retail weightings - HIDE'!$B$3:$D$51,2,TRUE)</f>
        <v>2.0322220406727274</v>
      </c>
      <c r="F146" s="3">
        <v>4.4000000000000004</v>
      </c>
      <c r="G146" s="3">
        <f t="shared" ref="G146:G151" si="62">AVERAGE(F135:F146)</f>
        <v>4.2424999999999997</v>
      </c>
      <c r="H146" s="4">
        <f t="shared" si="61"/>
        <v>5.6859596521397132E-2</v>
      </c>
    </row>
    <row r="147" spans="1:9">
      <c r="A147" s="7">
        <v>45292</v>
      </c>
      <c r="B147" s="10">
        <v>2021</v>
      </c>
      <c r="C147" s="9">
        <f t="shared" ref="C147:C152" si="63">((B147/1000)*H147)*100</f>
        <v>11.498990368075328</v>
      </c>
      <c r="E147" s="6">
        <f>VLOOKUP(A147,'Retail weightings - HIDE'!$B$3:$D$51,2,TRUE)</f>
        <v>2.0322220406727274</v>
      </c>
      <c r="F147" s="3">
        <v>4.33</v>
      </c>
      <c r="G147" s="3">
        <f t="shared" si="62"/>
        <v>4.2424999999999997</v>
      </c>
      <c r="H147" s="4">
        <f t="shared" ref="H147:H152" si="64">(G146-E147)*1.02969/0.4/100</f>
        <v>5.689752779849247E-2</v>
      </c>
    </row>
    <row r="148" spans="1:9">
      <c r="A148" s="7">
        <v>45323</v>
      </c>
      <c r="B148" s="10">
        <v>1996</v>
      </c>
      <c r="C148" s="9">
        <f t="shared" si="63"/>
        <v>11.356746548579096</v>
      </c>
      <c r="E148" s="6">
        <f>VLOOKUP(A148,'Retail weightings - HIDE'!$B$3:$D$51,2,TRUE)</f>
        <v>2.0322220406727274</v>
      </c>
      <c r="F148" s="3">
        <v>4.2699999999999996</v>
      </c>
      <c r="G148" s="3">
        <f t="shared" si="62"/>
        <v>4.2399999999999993</v>
      </c>
      <c r="H148" s="4">
        <f t="shared" si="64"/>
        <v>5.689752779849247E-2</v>
      </c>
    </row>
    <row r="149" spans="1:9">
      <c r="A149" s="7">
        <v>45352</v>
      </c>
      <c r="B149" s="10">
        <v>2045</v>
      </c>
      <c r="C149" s="9">
        <f t="shared" si="63"/>
        <v>11.622383709479207</v>
      </c>
      <c r="E149" s="6">
        <f>VLOOKUP(A149,'Retail weightings - HIDE'!$B$3:$D$51,2,TRUE)</f>
        <v>2.0322220406727274</v>
      </c>
      <c r="F149" s="3">
        <v>4.3</v>
      </c>
      <c r="G149" s="3">
        <f>AVERAGE(F138:F149)</f>
        <v>4.2374999999999998</v>
      </c>
      <c r="H149" s="4">
        <f t="shared" si="64"/>
        <v>5.6833172173492458E-2</v>
      </c>
    </row>
    <row r="150" spans="1:9">
      <c r="A150" s="7">
        <v>45383</v>
      </c>
      <c r="B150" s="10">
        <v>2037</v>
      </c>
      <c r="C150" s="9">
        <f t="shared" si="63"/>
        <v>11.661122523898115</v>
      </c>
      <c r="E150" s="6">
        <f>VLOOKUP(A150,'Retail weightings - HIDE'!$B$3:$D$51,2,TRUE)</f>
        <v>2.0136636446599305</v>
      </c>
      <c r="F150" s="3">
        <v>4.2699999999999996</v>
      </c>
      <c r="G150" s="3">
        <f t="shared" si="62"/>
        <v>4.2374999999999998</v>
      </c>
      <c r="H150" s="4">
        <f t="shared" si="64"/>
        <v>5.7246551418252897E-2</v>
      </c>
    </row>
    <row r="151" spans="1:9">
      <c r="A151" s="7">
        <v>45413</v>
      </c>
      <c r="B151" s="10">
        <v>2104</v>
      </c>
      <c r="C151" s="9">
        <f t="shared" si="63"/>
        <v>12.04467441840041</v>
      </c>
      <c r="E151" s="6">
        <f>VLOOKUP(A151,'Retail weightings - HIDE'!$B$3:$D$51,2,TRUE)</f>
        <v>2.0136636446599305</v>
      </c>
      <c r="F151" s="3">
        <v>4.1399999999999997</v>
      </c>
      <c r="G151" s="3">
        <f t="shared" si="62"/>
        <v>4.2433333333333323</v>
      </c>
      <c r="H151" s="4">
        <f t="shared" si="64"/>
        <v>5.7246551418252897E-2</v>
      </c>
    </row>
    <row r="152" spans="1:9">
      <c r="A152" s="7">
        <v>45444</v>
      </c>
      <c r="B152" s="10">
        <v>2292</v>
      </c>
      <c r="C152" s="9">
        <f t="shared" si="63"/>
        <v>13.155326973313558</v>
      </c>
      <c r="E152" s="6">
        <f>VLOOKUP(A152,'Retail weightings - HIDE'!$B$3:$D$51,2,TRUE)</f>
        <v>2.0136636446599305</v>
      </c>
      <c r="F152" s="3">
        <v>4.12</v>
      </c>
      <c r="G152" s="3">
        <f t="shared" ref="G152:G157" si="65">AVERAGE(F141:F152)</f>
        <v>4.2491666666666656</v>
      </c>
      <c r="H152" s="4">
        <f t="shared" si="64"/>
        <v>5.7396714543252882E-2</v>
      </c>
    </row>
    <row r="153" spans="1:9">
      <c r="A153" s="7">
        <v>45474</v>
      </c>
      <c r="B153" s="10">
        <v>2528</v>
      </c>
      <c r="C153" s="9">
        <f t="shared" ref="C153" si="66">((B153/1000)*H153)*100</f>
        <v>14.547850674534324</v>
      </c>
      <c r="E153" s="6">
        <f>VLOOKUP(A153,'Retail weightings - HIDE'!$B$3:$D$51,2,TRUE)</f>
        <v>2.0136636446599305</v>
      </c>
      <c r="F153" s="3">
        <v>4.13</v>
      </c>
      <c r="G153" s="3">
        <f t="shared" si="65"/>
        <v>4.248333333333334</v>
      </c>
      <c r="H153" s="4">
        <f t="shared" ref="H153:H158" si="67">(G152-E153)*1.02969/0.4/100</f>
        <v>5.7546877668252866E-2</v>
      </c>
    </row>
    <row r="154" spans="1:9">
      <c r="A154" s="7">
        <v>45505</v>
      </c>
      <c r="B154" s="10">
        <v>2703</v>
      </c>
      <c r="C154" s="9">
        <f t="shared" ref="C154:C157" si="68">((B154/1000)*H154)*100</f>
        <v>15.491354008204928</v>
      </c>
      <c r="E154" s="6">
        <f>VLOOKUP(A154,'Retail weightings - HIDE'!$B$3:$D$51,2,TRUE)</f>
        <v>2.0219659589682908</v>
      </c>
      <c r="F154" s="3">
        <v>4.17</v>
      </c>
      <c r="G154" s="3">
        <f t="shared" si="65"/>
        <v>4.25</v>
      </c>
      <c r="H154" s="4">
        <f t="shared" si="67"/>
        <v>5.7311705542748531E-2</v>
      </c>
    </row>
    <row r="155" spans="1:9">
      <c r="A155" s="7">
        <v>45536</v>
      </c>
      <c r="B155" s="10">
        <v>3147</v>
      </c>
      <c r="C155" s="9">
        <f t="shared" si="68"/>
        <v>18.049495544427955</v>
      </c>
      <c r="E155" s="6">
        <f>VLOOKUP(A155,'Retail weightings - HIDE'!$B$3:$D$51,2,TRUE)</f>
        <v>2.0219659589682908</v>
      </c>
      <c r="F155" s="3">
        <v>4.32</v>
      </c>
      <c r="G155" s="3">
        <f t="shared" si="65"/>
        <v>4.2608333333333333</v>
      </c>
      <c r="H155" s="4">
        <f t="shared" si="67"/>
        <v>5.7354609292748514E-2</v>
      </c>
    </row>
    <row r="156" spans="1:9" ht="14">
      <c r="A156" s="7">
        <v>45566</v>
      </c>
      <c r="B156" s="10">
        <v>3096</v>
      </c>
      <c r="C156" s="9">
        <f t="shared" si="68"/>
        <v>17.843326543534939</v>
      </c>
      <c r="E156" s="6">
        <f>VLOOKUP(A156,'Retail weightings - HIDE'!$B$3:$D$51,2,TRUE)</f>
        <v>2.0219659589682908</v>
      </c>
      <c r="F156" s="128">
        <v>4.4000000000000004</v>
      </c>
      <c r="G156" s="3">
        <f t="shared" si="65"/>
        <v>4.269166666666667</v>
      </c>
      <c r="H156" s="4">
        <f t="shared" si="67"/>
        <v>5.7633483667748502E-2</v>
      </c>
      <c r="I156" s="129"/>
    </row>
    <row r="157" spans="1:9" ht="14">
      <c r="A157" s="7">
        <v>45597</v>
      </c>
      <c r="B157" s="10">
        <v>3059</v>
      </c>
      <c r="C157" s="9">
        <f t="shared" si="68"/>
        <v>17.695703939589276</v>
      </c>
      <c r="E157" s="6">
        <f>VLOOKUP(A157,'Retail weightings - HIDE'!$B$3:$D$51,2,TRUE)</f>
        <v>2.0219659589682908</v>
      </c>
      <c r="F157" s="128">
        <v>4.41</v>
      </c>
      <c r="G157" s="3">
        <f t="shared" si="65"/>
        <v>4.2716666666666674</v>
      </c>
      <c r="H157" s="4">
        <f t="shared" si="67"/>
        <v>5.7848002417748526E-2</v>
      </c>
      <c r="I157" s="130"/>
    </row>
    <row r="158" spans="1:9" ht="14">
      <c r="A158" s="7">
        <v>45627</v>
      </c>
      <c r="B158" s="10">
        <v>3016</v>
      </c>
      <c r="C158" s="9">
        <f t="shared" ref="C158:C163" si="69">((B158/1000)*H158)*100</f>
        <v>17.466367185692956</v>
      </c>
      <c r="E158" s="6">
        <f>VLOOKUP(A158,'Retail weightings - HIDE'!$B$3:$D$51,2,TRUE)</f>
        <v>2.0219659589682908</v>
      </c>
      <c r="F158" s="128">
        <v>4.43</v>
      </c>
      <c r="G158" s="3">
        <f t="shared" ref="G158:G163" si="70">AVERAGE(F147:F158)</f>
        <v>4.2741666666666669</v>
      </c>
      <c r="H158" s="4">
        <f t="shared" si="67"/>
        <v>5.7912358042748531E-2</v>
      </c>
    </row>
    <row r="159" spans="1:9" ht="14">
      <c r="A159" s="7">
        <v>45658</v>
      </c>
      <c r="B159" s="10">
        <v>2630</v>
      </c>
      <c r="C159" s="9">
        <f t="shared" si="69"/>
        <v>15.247875694617861</v>
      </c>
      <c r="E159" s="6">
        <f>VLOOKUP(A159,'Retail weightings - HIDE'!$B$3:$D$51,2,TRUE)</f>
        <v>2.0219659589682908</v>
      </c>
      <c r="F159" s="128">
        <v>4.4000000000000004</v>
      </c>
      <c r="G159" s="3">
        <f t="shared" si="70"/>
        <v>4.28</v>
      </c>
      <c r="H159" s="4">
        <f t="shared" ref="H159:H164" si="71">(G158-E159)*1.02969/0.4/100</f>
        <v>5.7976713667748522E-2</v>
      </c>
    </row>
    <row r="160" spans="1:9" ht="14">
      <c r="A160" s="7">
        <v>45689</v>
      </c>
      <c r="B160" s="10">
        <v>2626</v>
      </c>
      <c r="C160" s="9">
        <f t="shared" si="69"/>
        <v>14.801283505688037</v>
      </c>
      <c r="E160" s="6">
        <f>VLOOKUP(A160,'Retail weightings - HIDE'!$B$3:$D$51,2,TRUE)</f>
        <v>2.0904334397513842</v>
      </c>
      <c r="F160" s="128">
        <v>4.4000000000000004</v>
      </c>
      <c r="G160" s="131">
        <f t="shared" si="70"/>
        <v>4.2908333333333335</v>
      </c>
      <c r="H160" s="4">
        <f t="shared" si="71"/>
        <v>5.6364369785559927E-2</v>
      </c>
    </row>
    <row r="161" spans="1:8" ht="14">
      <c r="A161" s="7">
        <v>45717</v>
      </c>
      <c r="B161" s="10">
        <v>2624</v>
      </c>
      <c r="C161" s="9">
        <f t="shared" si="69"/>
        <v>14.863187267730925</v>
      </c>
      <c r="E161" s="6">
        <f>VLOOKUP(A161,'Retail weightings - HIDE'!$B$3:$D$51,2,TRUE)</f>
        <v>2.0904334397513842</v>
      </c>
      <c r="F161" s="128">
        <v>4.37</v>
      </c>
      <c r="G161" s="131">
        <f t="shared" si="70"/>
        <v>4.296666666666666</v>
      </c>
      <c r="H161" s="4">
        <f t="shared" si="71"/>
        <v>5.6643244160559929E-2</v>
      </c>
    </row>
    <row r="162" spans="1:8" ht="14">
      <c r="A162" s="7">
        <v>45748</v>
      </c>
      <c r="B162" s="10">
        <v>2625</v>
      </c>
      <c r="C162" s="9">
        <f t="shared" si="69"/>
        <v>14.865457664667275</v>
      </c>
      <c r="E162" s="6">
        <f>VLOOKUP(A162,'Retail weightings - HIDE'!$B$3:$D$51,2,TRUE)</f>
        <v>2.0967690309503553</v>
      </c>
      <c r="F162" s="128">
        <v>4.28</v>
      </c>
      <c r="G162" s="131">
        <f t="shared" si="70"/>
        <v>4.2975000000000003</v>
      </c>
      <c r="H162" s="4">
        <f t="shared" si="71"/>
        <v>5.6630314913018197E-2</v>
      </c>
    </row>
    <row r="163" spans="1:8" ht="14">
      <c r="A163" s="7">
        <v>45778</v>
      </c>
      <c r="B163" s="10">
        <v>2538</v>
      </c>
      <c r="C163" s="9">
        <f t="shared" si="69"/>
        <v>14.378218410799024</v>
      </c>
      <c r="E163" s="6">
        <f>VLOOKUP(A163,'Retail weightings - HIDE'!$B$3:$D$51,2,TRUE)</f>
        <v>2.0967690309503553</v>
      </c>
      <c r="F163" s="128">
        <v>4.18</v>
      </c>
      <c r="G163" s="131">
        <f t="shared" si="70"/>
        <v>4.3008333333333333</v>
      </c>
      <c r="H163" s="4">
        <f t="shared" si="71"/>
        <v>5.6651766788018219E-2</v>
      </c>
    </row>
    <row r="164" spans="1:8" ht="14">
      <c r="A164" s="7">
        <v>45809</v>
      </c>
      <c r="B164" s="10">
        <v>2657</v>
      </c>
      <c r="C164" s="9">
        <f t="shared" ref="C164:C165" si="72">((B164/1000)*H164)*100</f>
        <v>15.075173488326438</v>
      </c>
      <c r="E164" s="6">
        <f>VLOOKUP(A164,'Retail weightings - HIDE'!$B$3:$D$51,2,TRUE)</f>
        <v>2.0967690309503553</v>
      </c>
      <c r="F164" s="128">
        <v>4.1909471595741463</v>
      </c>
      <c r="G164" s="131">
        <f t="shared" ref="G164:G165" si="73">AVERAGE(F153:F164)</f>
        <v>4.3067455966311785</v>
      </c>
      <c r="H164" s="4">
        <f t="shared" si="71"/>
        <v>5.6737574288018205E-2</v>
      </c>
    </row>
    <row r="165" spans="1:8" ht="14">
      <c r="A165" s="7">
        <v>45839</v>
      </c>
      <c r="B165" s="10">
        <v>2774</v>
      </c>
      <c r="C165" s="9">
        <f t="shared" si="72"/>
        <v>15.781221989366676</v>
      </c>
      <c r="E165" s="6">
        <f>VLOOKUP(A165,'Retail weightings - HIDE'!$B$3:$D$51,2,TRUE)</f>
        <v>2.0967690309503553</v>
      </c>
      <c r="F165" s="128">
        <v>4.1602761015486456</v>
      </c>
      <c r="G165" s="132">
        <f t="shared" si="73"/>
        <v>4.3092686050935658</v>
      </c>
      <c r="H165" s="133">
        <f t="shared" ref="H165:H171" si="74">(G164-E165)*1.02969/0.4/100</f>
        <v>5.6889769247897168E-2</v>
      </c>
    </row>
    <row r="166" spans="1:8" ht="14">
      <c r="A166" s="7">
        <v>45870</v>
      </c>
      <c r="B166" s="10">
        <v>2730</v>
      </c>
      <c r="C166" s="9">
        <f t="shared" ref="C166" si="75">((B166/1000)*H166)*100</f>
        <v>15.448821769300899</v>
      </c>
      <c r="E166" s="6">
        <f>VLOOKUP(A166,'Retail weightings - HIDE'!$B$3:$D$51,2,TRUE)</f>
        <v>2.1109723905031581</v>
      </c>
      <c r="F166" s="128">
        <v>4.2136721898162506</v>
      </c>
      <c r="G166" s="132">
        <f>AVERAGE(F155:F166)</f>
        <v>4.3129079542449196</v>
      </c>
      <c r="H166" s="4">
        <f t="shared" si="74"/>
        <v>5.6589090730039926E-2</v>
      </c>
    </row>
    <row r="167" spans="1:8" ht="14">
      <c r="A167" s="7">
        <v>45901</v>
      </c>
      <c r="B167" s="10">
        <v>2587</v>
      </c>
      <c r="C167" s="9">
        <f t="shared" ref="C167" si="76">((B167/1000)*H167)*100</f>
        <v>14.663834090594705</v>
      </c>
      <c r="E167" s="6">
        <f>VLOOKUP(A167,'Retail weightings - HIDE'!$B$3:$D$51,2,TRUE)</f>
        <v>2.1109723905031581</v>
      </c>
      <c r="F167" s="128">
        <v>4.383126873387627</v>
      </c>
      <c r="G167" s="132">
        <f>AVERAGE(F156:F167)</f>
        <v>4.3181685270272228</v>
      </c>
      <c r="H167" s="4">
        <f t="shared" si="74"/>
        <v>5.6682775765731358E-2</v>
      </c>
    </row>
    <row r="168" spans="1:8" ht="14">
      <c r="A168" s="7">
        <v>45931</v>
      </c>
      <c r="B168" s="10">
        <v>1986</v>
      </c>
      <c r="C168" s="9">
        <f t="shared" ref="C168" si="77">((B168/1000)*H168)*100</f>
        <v>11.284093476443708</v>
      </c>
      <c r="E168" s="6">
        <f>VLOOKUP(A168,'Retail weightings - HIDE'!$B$3:$D$51,2,TRUE)</f>
        <v>2.1109723905031581</v>
      </c>
      <c r="F168" s="128">
        <v>4.4329058473027834</v>
      </c>
      <c r="G168" s="132">
        <f t="shared" ref="G168:G174" si="78">AVERAGE(F155:F168)</f>
        <v>4.3264948694021035</v>
      </c>
      <c r="H168" s="4">
        <f t="shared" si="74"/>
        <v>5.6818194745436597E-2</v>
      </c>
    </row>
    <row r="169" spans="1:8" ht="14">
      <c r="A169" s="7">
        <v>45962</v>
      </c>
      <c r="B169" s="10">
        <v>1752</v>
      </c>
      <c r="C169" s="9">
        <f>((B169/1000)*H169)*100</f>
        <v>9.9920998748828538</v>
      </c>
      <c r="E169" s="6">
        <f>VLOOKUP(A169,'Retail weightings - HIDE'!$B$3:$D$51,2,TRUE)</f>
        <v>2.1109723905031581</v>
      </c>
      <c r="F169" s="128">
        <v>4.4628560327021187</v>
      </c>
      <c r="G169" s="132">
        <f t="shared" si="78"/>
        <v>4.33669887173797</v>
      </c>
      <c r="H169" s="4">
        <f t="shared" si="74"/>
        <v>5.7032533532436383E-2</v>
      </c>
    </row>
    <row r="170" spans="1:8">
      <c r="A170" s="7">
        <v>45992</v>
      </c>
      <c r="B170" s="10">
        <v>1312</v>
      </c>
      <c r="C170" s="9">
        <f>((B170/1000)*H170)*100</f>
        <v>7.4724063954876216</v>
      </c>
      <c r="E170" s="6">
        <f>VLOOKUP(A170,'Retail weightings - HIDE'!$B$3:$D$51,2,TRUE)</f>
        <v>2.124214841057761</v>
      </c>
      <c r="F170" s="3">
        <v>4.4458249194438615</v>
      </c>
      <c r="G170" s="132">
        <f t="shared" si="78"/>
        <v>4.339972080269674</v>
      </c>
      <c r="H170" s="4">
        <f t="shared" si="74"/>
        <v>5.6954317038777603E-2</v>
      </c>
    </row>
    <row r="171" spans="1:8">
      <c r="A171" s="7">
        <v>46023</v>
      </c>
      <c r="B171" s="10">
        <v>1185</v>
      </c>
      <c r="C171" s="9">
        <f>((B171/1000)*H171)*100</f>
        <v>6.7590713497456889</v>
      </c>
      <c r="E171" s="6">
        <f>VLOOKUP(A171,'Retail weightings - HIDE'!$B$3:$D$51,2,TRUE)</f>
        <v>2.124214841057761</v>
      </c>
      <c r="F171" s="3">
        <v>4.45</v>
      </c>
      <c r="G171" s="132">
        <f t="shared" si="78"/>
        <v>4.3428292231268175</v>
      </c>
      <c r="H171" s="4">
        <f t="shared" si="74"/>
        <v>5.7038576791102864E-2</v>
      </c>
    </row>
    <row r="172" spans="1:8" ht="14">
      <c r="A172" s="7">
        <v>46054</v>
      </c>
      <c r="B172" s="10">
        <v>1250</v>
      </c>
      <c r="C172" s="9">
        <f t="shared" ref="C172:C174" si="79">((B172/1000)*H172)*100</f>
        <v>7.1390157596021462</v>
      </c>
      <c r="E172" s="135">
        <f>VLOOKUP(A172,'Retail weightings - HIDE'!$B$3:$D$51,2,TRUE)</f>
        <v>2.124214841057761</v>
      </c>
      <c r="F172" s="134">
        <v>4.4272304021241684</v>
      </c>
      <c r="G172" s="132">
        <f t="shared" si="78"/>
        <v>4.342631394707114</v>
      </c>
      <c r="H172" s="4">
        <f t="shared" ref="H172:H174" si="80">(G171-E172)*1.02969/0.4/100</f>
        <v>5.711212607681717E-2</v>
      </c>
    </row>
    <row r="173" spans="1:8" ht="14">
      <c r="A173" s="7">
        <v>46082</v>
      </c>
      <c r="B173" s="10">
        <v>1556</v>
      </c>
      <c r="C173" s="9">
        <f t="shared" si="79"/>
        <v>8.8858544169848166</v>
      </c>
      <c r="E173" s="135">
        <f>VLOOKUP(A173,'Retail weightings - HIDE'!$B$3:$D$51,2,TRUE)</f>
        <v>2.124214841057761</v>
      </c>
      <c r="F173" s="134">
        <v>4.4272304021241684</v>
      </c>
      <c r="G173" s="132">
        <f t="shared" si="78"/>
        <v>4.3445764234302695</v>
      </c>
      <c r="H173" s="4">
        <f t="shared" si="80"/>
        <v>5.710703352818005E-2</v>
      </c>
    </row>
    <row r="174" spans="1:8" ht="14">
      <c r="A174" s="7">
        <v>46113</v>
      </c>
      <c r="B174" s="10">
        <v>1238</v>
      </c>
      <c r="C174" s="9">
        <f t="shared" si="79"/>
        <v>7.0760493444459938</v>
      </c>
      <c r="E174" s="6">
        <f>VLOOKUP(A174,'Retail weightings - HIDE'!$B$3:$D$51,2,TRUE)</f>
        <v>2.124214841057761</v>
      </c>
      <c r="F174" s="128"/>
      <c r="G174" s="132">
        <f t="shared" si="78"/>
        <v>4.3403130713864435</v>
      </c>
      <c r="H174" s="4">
        <f t="shared" si="80"/>
        <v>5.7157102943828704E-2</v>
      </c>
    </row>
  </sheetData>
  <sheetProtection selectLockedCells="1" selectUnlockedCells="1"/>
  <mergeCells count="3">
    <mergeCell ref="A1:A2"/>
    <mergeCell ref="C1:C2"/>
    <mergeCell ref="G1:G2"/>
  </mergeCells>
  <hyperlinks>
    <hyperlink ref="I1" r:id="rId1" display="https://www.gov.uk/government/statistics/uk-milk-prices-and-composition-of-milk" xr:uid="{D0AD922C-347B-4229-A551-68AD763CD91F}"/>
    <hyperlink ref="I2" r:id="rId2" display="https://www.gov.uk/search/research-and-statistics?content_store_document_type=upcoming_statistics&amp;keywords=&amp;level_one_taxon=&amp;organisations%5B%5D=department-for-environment-food-rural-affairs&amp;public_timestamp%5Bfrom%5D=&amp;public_timestamp%5Bto%5D=" xr:uid="{129CD358-8893-4DAB-A5C0-032B9D526E1C}"/>
  </hyperlinks>
  <pageMargins left="0.7" right="0.7" top="0.75" bottom="0.75" header="0.3" footer="0.3"/>
  <pageSetup paperSize="9" orientation="portrait" r:id="rId3"/>
  <headerFooter>
    <oddHeader>&amp;C&amp;"Aptos"&amp;12&amp;K000000 OFFICIAL&amp;1#_x000D_</oddHeader>
  </headerFooter>
  <legacyDrawing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O37"/>
  <sheetViews>
    <sheetView workbookViewId="0">
      <pane xSplit="1" ySplit="3" topLeftCell="B16" activePane="bottomRight" state="frozen"/>
      <selection activeCell="I153" sqref="I153"/>
      <selection pane="topRight" activeCell="I153" sqref="I153"/>
      <selection pane="bottomLeft" activeCell="I153" sqref="I153"/>
      <selection pane="bottomRight" activeCell="C29" sqref="C29"/>
    </sheetView>
  </sheetViews>
  <sheetFormatPr defaultColWidth="9.1796875" defaultRowHeight="12.5"/>
  <cols>
    <col min="1" max="1" width="17.54296875" customWidth="1"/>
    <col min="2" max="2" width="11.54296875" style="20" customWidth="1"/>
    <col min="3" max="3" width="10.1796875" customWidth="1"/>
    <col min="6" max="6" width="10.1796875" bestFit="1" customWidth="1"/>
    <col min="7" max="7" width="11.81640625" bestFit="1" customWidth="1"/>
    <col min="11" max="11" width="14.26953125" customWidth="1"/>
    <col min="12" max="12" width="13.54296875" customWidth="1"/>
    <col min="13" max="13" width="14.453125" customWidth="1"/>
    <col min="14" max="14" width="11.81640625" bestFit="1" customWidth="1"/>
  </cols>
  <sheetData>
    <row r="1" spans="1:15" ht="13">
      <c r="A1" s="19" t="s">
        <v>20</v>
      </c>
      <c r="D1" s="2" t="s">
        <v>13</v>
      </c>
      <c r="E1">
        <v>3.5</v>
      </c>
      <c r="F1">
        <v>1.7</v>
      </c>
      <c r="G1">
        <v>1</v>
      </c>
      <c r="H1">
        <v>0.1</v>
      </c>
      <c r="K1" s="2" t="s">
        <v>66</v>
      </c>
    </row>
    <row r="2" spans="1:15" ht="13">
      <c r="A2" s="19"/>
      <c r="D2" s="2"/>
      <c r="E2" s="2" t="s">
        <v>69</v>
      </c>
      <c r="K2" s="2" t="s">
        <v>22</v>
      </c>
    </row>
    <row r="3" spans="1:15" ht="13">
      <c r="A3" s="21" t="s">
        <v>27</v>
      </c>
      <c r="B3" s="22" t="s">
        <v>18</v>
      </c>
      <c r="C3" s="19" t="s">
        <v>14</v>
      </c>
      <c r="D3" s="23" t="s">
        <v>12</v>
      </c>
      <c r="E3" t="s">
        <v>0</v>
      </c>
      <c r="F3" t="s">
        <v>1</v>
      </c>
      <c r="G3" t="s">
        <v>67</v>
      </c>
      <c r="H3" t="s">
        <v>2</v>
      </c>
      <c r="I3" t="s">
        <v>21</v>
      </c>
      <c r="K3" t="s">
        <v>1</v>
      </c>
      <c r="L3" t="s">
        <v>2</v>
      </c>
      <c r="M3" t="s">
        <v>0</v>
      </c>
      <c r="N3" t="s">
        <v>67</v>
      </c>
    </row>
    <row r="4" spans="1:15">
      <c r="A4" s="27" t="s">
        <v>6</v>
      </c>
      <c r="B4" s="28">
        <v>40909</v>
      </c>
      <c r="C4" s="29">
        <f>SUMPRODUCT(E4:H4,$E$1:$H$1)/SUM(E4:H4)</f>
        <v>1.80535</v>
      </c>
      <c r="D4" s="30">
        <v>1</v>
      </c>
      <c r="E4" s="31">
        <v>0.20610000000000001</v>
      </c>
      <c r="F4" s="31">
        <v>0.58619999999999994</v>
      </c>
      <c r="G4" s="31">
        <v>7.4099999999999999E-2</v>
      </c>
      <c r="H4" s="31">
        <v>0.1336</v>
      </c>
      <c r="I4" s="32">
        <f>SUM(E4:H4)</f>
        <v>1</v>
      </c>
    </row>
    <row r="5" spans="1:15">
      <c r="A5" s="27" t="s">
        <v>7</v>
      </c>
      <c r="B5" s="28">
        <v>41365</v>
      </c>
      <c r="C5" s="29">
        <f t="shared" ref="C5:C12" si="0">SUMPRODUCT(E5:H5,$E$1:$H$1)/SUM(E5:H5)</f>
        <v>1.8415400000000002</v>
      </c>
      <c r="D5" s="30">
        <v>2</v>
      </c>
      <c r="E5" s="31">
        <v>0.21879999999999999</v>
      </c>
      <c r="F5" s="31">
        <v>0.59729999999999994</v>
      </c>
      <c r="G5" s="31">
        <v>4.6600000000000003E-2</v>
      </c>
      <c r="H5" s="31">
        <v>0.13730000000000001</v>
      </c>
      <c r="I5" s="32">
        <f t="shared" ref="I5:I12" si="1">SUM(E5:H5)</f>
        <v>0.99999999999999989</v>
      </c>
    </row>
    <row r="6" spans="1:15">
      <c r="A6" s="27" t="s">
        <v>8</v>
      </c>
      <c r="B6" s="28">
        <v>41730</v>
      </c>
      <c r="C6" s="29">
        <f t="shared" si="0"/>
        <v>1.8376859165042569</v>
      </c>
      <c r="D6" s="30">
        <v>3</v>
      </c>
      <c r="E6" s="31">
        <v>0.2094</v>
      </c>
      <c r="F6" s="31">
        <v>0.58709999999999996</v>
      </c>
      <c r="G6" s="31">
        <v>4.7500000000000001E-2</v>
      </c>
      <c r="H6" s="31">
        <v>0.13089999999999999</v>
      </c>
      <c r="I6" s="32">
        <f t="shared" si="1"/>
        <v>0.97489999999999999</v>
      </c>
    </row>
    <row r="7" spans="1:15">
      <c r="A7" s="20" t="s">
        <v>9</v>
      </c>
      <c r="B7" s="24">
        <v>42095</v>
      </c>
      <c r="C7" s="1">
        <f t="shared" si="0"/>
        <v>1.8944944944944944</v>
      </c>
      <c r="D7" s="25">
        <v>4</v>
      </c>
      <c r="E7" s="18">
        <v>0.223</v>
      </c>
      <c r="F7" s="18">
        <v>0.61899999999999999</v>
      </c>
      <c r="G7" s="18">
        <v>4.9000000000000002E-2</v>
      </c>
      <c r="H7" s="18">
        <v>0.10800000000000001</v>
      </c>
      <c r="I7" s="17">
        <f t="shared" si="1"/>
        <v>0.999</v>
      </c>
    </row>
    <row r="8" spans="1:15">
      <c r="A8" s="20" t="s">
        <v>24</v>
      </c>
      <c r="B8" s="24">
        <v>42461</v>
      </c>
      <c r="C8" s="1">
        <f t="shared" si="0"/>
        <v>1.8650614720288885</v>
      </c>
      <c r="D8" s="25">
        <v>5</v>
      </c>
      <c r="E8" s="18">
        <f t="shared" ref="E8:E13" si="2">M8/SUM($K8:$N8)</f>
        <v>0.22175085822390717</v>
      </c>
      <c r="F8" s="18">
        <f t="shared" ref="F8:F13" si="3">K8/SUM($K8:$N8)</f>
        <v>0.61053529538992268</v>
      </c>
      <c r="G8" s="18">
        <f t="shared" ref="G8:G13" si="4">N8/SUM($K8:$N8)</f>
        <v>3.8057868270808724E-2</v>
      </c>
      <c r="H8" s="18">
        <f t="shared" ref="H8:H13" si="5">L8/SUM($K8:$N8)</f>
        <v>0.12965597811536139</v>
      </c>
      <c r="I8" s="17">
        <f t="shared" si="1"/>
        <v>1</v>
      </c>
      <c r="K8" s="26">
        <v>3223077</v>
      </c>
      <c r="L8" s="26">
        <v>684466.9</v>
      </c>
      <c r="M8" s="26">
        <v>1170645</v>
      </c>
      <c r="N8" s="26">
        <v>200911.3</v>
      </c>
      <c r="O8" s="143" t="s">
        <v>64</v>
      </c>
    </row>
    <row r="9" spans="1:15">
      <c r="A9" s="121" t="s">
        <v>25</v>
      </c>
      <c r="B9" s="24">
        <v>42644</v>
      </c>
      <c r="C9" s="1">
        <f t="shared" si="0"/>
        <v>1.8733681362524308</v>
      </c>
      <c r="D9" s="25">
        <v>6</v>
      </c>
      <c r="E9" s="18">
        <f t="shared" si="2"/>
        <v>0.22468250224616437</v>
      </c>
      <c r="F9" s="18">
        <f t="shared" si="3"/>
        <v>0.61016642406517441</v>
      </c>
      <c r="G9" s="18">
        <f t="shared" si="4"/>
        <v>3.6868166790213951E-2</v>
      </c>
      <c r="H9" s="18">
        <f t="shared" si="5"/>
        <v>0.12828290689844715</v>
      </c>
      <c r="I9" s="17">
        <f t="shared" si="1"/>
        <v>0.99999999999999989</v>
      </c>
      <c r="K9" s="45">
        <v>3204905</v>
      </c>
      <c r="L9" s="45">
        <v>673807.2</v>
      </c>
      <c r="M9" s="45">
        <v>1180147</v>
      </c>
      <c r="N9" s="45">
        <v>193650.4</v>
      </c>
      <c r="O9" s="144"/>
    </row>
    <row r="10" spans="1:15">
      <c r="A10" s="121" t="s">
        <v>26</v>
      </c>
      <c r="B10" s="24">
        <v>42826</v>
      </c>
      <c r="C10" s="1">
        <f t="shared" si="0"/>
        <v>1.8895701921638479</v>
      </c>
      <c r="D10" s="25">
        <v>7</v>
      </c>
      <c r="E10" s="18">
        <f t="shared" si="2"/>
        <v>0.2296958269494965</v>
      </c>
      <c r="F10" s="18">
        <f t="shared" si="3"/>
        <v>0.61069475480589641</v>
      </c>
      <c r="G10" s="18">
        <f t="shared" si="4"/>
        <v>3.499196982902833E-2</v>
      </c>
      <c r="H10" s="18">
        <f t="shared" si="5"/>
        <v>0.1246174484155788</v>
      </c>
      <c r="I10" s="17">
        <f t="shared" si="1"/>
        <v>1</v>
      </c>
      <c r="K10" s="45">
        <v>3205775</v>
      </c>
      <c r="L10" s="45">
        <v>654165.6</v>
      </c>
      <c r="M10" s="45">
        <v>1205763</v>
      </c>
      <c r="N10" s="45">
        <v>183686.5</v>
      </c>
      <c r="O10" s="144"/>
    </row>
    <row r="11" spans="1:15">
      <c r="A11" s="121" t="s">
        <v>23</v>
      </c>
      <c r="B11" s="24">
        <v>43009</v>
      </c>
      <c r="C11" s="1">
        <f>SUMPRODUCT(E11:H11,$E$1:$H$1)/SUM(E11:H11)</f>
        <v>1.8998405282530295</v>
      </c>
      <c r="D11" s="25">
        <v>8</v>
      </c>
      <c r="E11" s="18">
        <f t="shared" si="2"/>
        <v>0.2329351902087976</v>
      </c>
      <c r="F11" s="18">
        <f t="shared" si="3"/>
        <v>0.61134704112991189</v>
      </c>
      <c r="G11" s="18">
        <f t="shared" si="4"/>
        <v>3.300623970584287E-2</v>
      </c>
      <c r="H11" s="18">
        <f t="shared" si="5"/>
        <v>0.12271152895544762</v>
      </c>
      <c r="I11" s="17">
        <f t="shared" si="1"/>
        <v>1</v>
      </c>
      <c r="K11" s="45">
        <v>3224459</v>
      </c>
      <c r="L11" s="45">
        <v>647223.69999999995</v>
      </c>
      <c r="M11" s="45">
        <v>1228582</v>
      </c>
      <c r="N11" s="45">
        <v>174086.5</v>
      </c>
      <c r="O11" s="144"/>
    </row>
    <row r="12" spans="1:15">
      <c r="A12" s="120">
        <v>43184</v>
      </c>
      <c r="B12" s="24">
        <v>43191</v>
      </c>
      <c r="C12" s="1">
        <f t="shared" si="0"/>
        <v>1.9084580656428189</v>
      </c>
      <c r="D12" s="25">
        <v>9</v>
      </c>
      <c r="E12" s="18">
        <f t="shared" si="2"/>
        <v>0.23639337578564104</v>
      </c>
      <c r="F12" s="18">
        <f t="shared" si="3"/>
        <v>0.61029538500241276</v>
      </c>
      <c r="G12" s="18">
        <f t="shared" si="4"/>
        <v>3.138663551975461E-2</v>
      </c>
      <c r="H12" s="18">
        <f t="shared" si="5"/>
        <v>0.12192460369219157</v>
      </c>
      <c r="I12" s="17">
        <f t="shared" si="1"/>
        <v>1</v>
      </c>
      <c r="K12" s="45">
        <v>3216827</v>
      </c>
      <c r="L12" s="45">
        <v>642656.6</v>
      </c>
      <c r="M12" s="45">
        <v>1246014</v>
      </c>
      <c r="N12" s="45">
        <v>165436.9</v>
      </c>
      <c r="O12" s="144"/>
    </row>
    <row r="13" spans="1:15">
      <c r="A13" s="120">
        <v>43352</v>
      </c>
      <c r="B13" s="24">
        <v>43374</v>
      </c>
      <c r="C13" s="1">
        <f t="shared" ref="C13" si="6">SUMPRODUCT(E13:H13,$E$1:$H$1)/SUM(E13:H13)</f>
        <v>1.9102619773550717</v>
      </c>
      <c r="D13" s="25">
        <v>10</v>
      </c>
      <c r="E13" s="18">
        <f t="shared" si="2"/>
        <v>0.23679026788185958</v>
      </c>
      <c r="F13" s="18">
        <f t="shared" si="3"/>
        <v>0.61086131411353883</v>
      </c>
      <c r="G13" s="18">
        <f t="shared" si="4"/>
        <v>3.0885515527874524E-2</v>
      </c>
      <c r="H13" s="18">
        <f t="shared" si="5"/>
        <v>0.12146290247672707</v>
      </c>
      <c r="I13" s="17">
        <f t="shared" ref="I13" si="7">SUM(E13:H13)</f>
        <v>1</v>
      </c>
      <c r="K13" s="45">
        <v>3204058</v>
      </c>
      <c r="L13" s="45">
        <v>637090.9</v>
      </c>
      <c r="M13" s="45">
        <v>1242000</v>
      </c>
      <c r="N13" s="45">
        <v>161999.1</v>
      </c>
      <c r="O13" s="144"/>
    </row>
    <row r="14" spans="1:15">
      <c r="A14" s="120">
        <v>43548</v>
      </c>
      <c r="B14" s="24">
        <v>43556</v>
      </c>
      <c r="C14" s="1">
        <f t="shared" ref="C14" si="8">SUMPRODUCT(E14:H14,$E$1:$H$1)/SUM(E14:H14)</f>
        <v>1.910457668158775</v>
      </c>
      <c r="D14" s="25">
        <v>11</v>
      </c>
      <c r="E14" s="18">
        <f t="shared" ref="E14" si="9">M14/SUM($K14:$N14)</f>
        <v>0.23615673166060289</v>
      </c>
      <c r="F14" s="18">
        <f t="shared" ref="F14" si="10">K14/SUM($K14:$N14)</f>
        <v>0.61316072199043892</v>
      </c>
      <c r="G14" s="18">
        <f t="shared" ref="G14" si="11">N14/SUM($K14:$N14)</f>
        <v>2.9408472586692332E-2</v>
      </c>
      <c r="H14" s="18">
        <f t="shared" ref="H14" si="12">L14/SUM($K14:$N14)</f>
        <v>0.12127407376226589</v>
      </c>
      <c r="I14" s="17">
        <f t="shared" ref="I14" si="13">SUM(E14:H14)</f>
        <v>1</v>
      </c>
      <c r="K14" s="45">
        <v>3204614</v>
      </c>
      <c r="L14" s="45">
        <v>633825</v>
      </c>
      <c r="M14" s="45">
        <v>1234246</v>
      </c>
      <c r="N14" s="45">
        <v>153700</v>
      </c>
      <c r="O14" s="144"/>
    </row>
    <row r="15" spans="1:15">
      <c r="A15" s="120">
        <v>43716</v>
      </c>
      <c r="B15" s="24">
        <v>43739</v>
      </c>
      <c r="C15" s="1">
        <f t="shared" ref="C15" si="14">SUMPRODUCT(E15:H15,$E$1:$H$1)/SUM(E15:H15)</f>
        <v>1.9176736900681475</v>
      </c>
      <c r="D15" s="25">
        <v>12</v>
      </c>
      <c r="E15" s="18">
        <f t="shared" ref="E15" si="15">M15/SUM($K15:$N15)</f>
        <v>0.23927323356101857</v>
      </c>
      <c r="F15" s="18">
        <f t="shared" ref="F15" si="16">K15/SUM($K15:$N15)</f>
        <v>0.61180181510517284</v>
      </c>
      <c r="G15" s="18">
        <f t="shared" ref="G15" si="17">N15/SUM($K15:$N15)</f>
        <v>2.8068657547119923E-2</v>
      </c>
      <c r="H15" s="18">
        <f t="shared" ref="H15" si="18">L15/SUM($K15:$N15)</f>
        <v>0.12085629378668868</v>
      </c>
      <c r="I15" s="17">
        <f t="shared" ref="I15" si="19">SUM(E15:H15)</f>
        <v>1</v>
      </c>
      <c r="K15" s="45">
        <v>3175691</v>
      </c>
      <c r="L15" s="45">
        <v>627331</v>
      </c>
      <c r="M15" s="45">
        <v>1242000</v>
      </c>
      <c r="N15" s="45">
        <v>145696.5</v>
      </c>
      <c r="O15" s="144"/>
    </row>
    <row r="16" spans="1:15">
      <c r="A16" s="120">
        <v>43856</v>
      </c>
      <c r="B16" s="24">
        <v>43862</v>
      </c>
      <c r="C16" s="1">
        <f t="shared" ref="C16:C21" si="20">SUMPRODUCT(E16:H16,$E$1:$H$1)/SUM(E16:H16)</f>
        <v>1.9240965242551551</v>
      </c>
      <c r="D16" s="25">
        <v>13</v>
      </c>
      <c r="E16" s="18">
        <f t="shared" ref="E16:E20" si="21">M16/SUM($K16:$N16)</f>
        <v>0.24197676998700143</v>
      </c>
      <c r="F16" s="18">
        <f t="shared" ref="F16:F22" si="22">K16/SUM($K16:$N16)</f>
        <v>0.61124456693310902</v>
      </c>
      <c r="G16" s="18">
        <f t="shared" ref="G16:G21" si="23">N16/SUM($K16:$N16)</f>
        <v>2.598244356263963E-2</v>
      </c>
      <c r="H16" s="18">
        <f t="shared" ref="H16:H22" si="24">L16/SUM($K16:$N16)</f>
        <v>0.12079621951724977</v>
      </c>
      <c r="I16" s="17">
        <f t="shared" ref="I16" si="25">SUM(E16:H16)</f>
        <v>0.99999999999999989</v>
      </c>
      <c r="K16" s="45">
        <v>3138201</v>
      </c>
      <c r="L16" s="45">
        <v>620181.9</v>
      </c>
      <c r="M16" s="45">
        <v>1242337</v>
      </c>
      <c r="N16" s="45">
        <v>133396.9</v>
      </c>
      <c r="O16" s="144"/>
    </row>
    <row r="17" spans="1:15">
      <c r="A17" s="120">
        <v>44024</v>
      </c>
      <c r="B17" s="24">
        <v>44044</v>
      </c>
      <c r="C17" s="1">
        <f t="shared" si="20"/>
        <v>1.9374497791356422</v>
      </c>
      <c r="D17" s="25">
        <v>14</v>
      </c>
      <c r="E17" s="18">
        <f t="shared" si="21"/>
        <v>0.24402202220996316</v>
      </c>
      <c r="F17" s="18">
        <f t="shared" si="22"/>
        <v>0.62093252057220893</v>
      </c>
      <c r="G17" s="18">
        <f t="shared" si="23"/>
        <v>1.5869856340259097E-2</v>
      </c>
      <c r="H17" s="18">
        <f t="shared" si="24"/>
        <v>0.11917560087756877</v>
      </c>
      <c r="I17" s="17">
        <f t="shared" ref="I17" si="26">SUM(E17:H17)</f>
        <v>0.99999999999999989</v>
      </c>
      <c r="K17" s="45">
        <v>3291167</v>
      </c>
      <c r="L17" s="45">
        <v>631673.80000000005</v>
      </c>
      <c r="M17" s="45">
        <v>1293405</v>
      </c>
      <c r="N17" s="45">
        <v>84115.98</v>
      </c>
      <c r="O17" s="144"/>
    </row>
    <row r="18" spans="1:15">
      <c r="A18" s="120">
        <v>44220</v>
      </c>
      <c r="B18" s="24">
        <v>44228</v>
      </c>
      <c r="C18" s="1">
        <f t="shared" si="20"/>
        <v>1.9445052640632972</v>
      </c>
      <c r="D18" s="25">
        <v>15</v>
      </c>
      <c r="E18" s="18">
        <f t="shared" si="21"/>
        <v>0.24398499250004471</v>
      </c>
      <c r="F18" s="18">
        <f t="shared" si="22"/>
        <v>0.63167729574435139</v>
      </c>
      <c r="G18" s="18">
        <f t="shared" si="23"/>
        <v>4.7473515246475766E-3</v>
      </c>
      <c r="H18" s="18">
        <f t="shared" si="24"/>
        <v>0.11959036023095634</v>
      </c>
      <c r="I18" s="17">
        <f t="shared" ref="I18" si="27">SUM(E18:H18)</f>
        <v>1</v>
      </c>
      <c r="K18" s="45">
        <v>3495723</v>
      </c>
      <c r="L18" s="45">
        <v>661817</v>
      </c>
      <c r="M18" s="45">
        <v>1350221</v>
      </c>
      <c r="N18" s="45">
        <v>26272</v>
      </c>
      <c r="O18" s="144"/>
    </row>
    <row r="19" spans="1:15">
      <c r="A19" s="120">
        <v>44444</v>
      </c>
      <c r="B19" s="24">
        <v>44470</v>
      </c>
      <c r="C19" s="1">
        <f t="shared" si="20"/>
        <v>1.9475302224728834</v>
      </c>
      <c r="D19" s="25">
        <v>16</v>
      </c>
      <c r="E19" s="18">
        <f t="shared" si="21"/>
        <v>0.24574870033005081</v>
      </c>
      <c r="F19" s="18">
        <f t="shared" si="22"/>
        <v>0.63042762098876026</v>
      </c>
      <c r="G19" s="18">
        <f t="shared" si="23"/>
        <v>3.667164187437896E-3</v>
      </c>
      <c r="H19" s="18">
        <f t="shared" si="24"/>
        <v>0.12015651449375096</v>
      </c>
      <c r="I19" s="17">
        <f t="shared" ref="I19" si="28">SUM(E19:H19)</f>
        <v>0.99999999999999989</v>
      </c>
      <c r="K19" s="45">
        <v>3479925</v>
      </c>
      <c r="L19" s="45">
        <v>663257.19999999995</v>
      </c>
      <c r="M19" s="45">
        <v>1356519</v>
      </c>
      <c r="N19" s="45">
        <v>20242.54</v>
      </c>
      <c r="O19" s="144"/>
    </row>
    <row r="20" spans="1:15">
      <c r="A20" s="120">
        <v>44359</v>
      </c>
      <c r="B20" s="24">
        <v>44713</v>
      </c>
      <c r="C20" s="1">
        <f t="shared" si="20"/>
        <v>1.9568429838183823</v>
      </c>
      <c r="D20" s="25">
        <v>17</v>
      </c>
      <c r="E20" s="18">
        <f t="shared" si="21"/>
        <v>0.24969910559109146</v>
      </c>
      <c r="F20" s="18">
        <f t="shared" si="22"/>
        <v>0.62759838084957087</v>
      </c>
      <c r="G20" s="18">
        <f t="shared" si="23"/>
        <v>4.1206838326198029E-3</v>
      </c>
      <c r="H20" s="18">
        <f t="shared" si="24"/>
        <v>0.11858182972671796</v>
      </c>
      <c r="I20" s="17">
        <f t="shared" ref="I20:I22" si="29">SUM(E20:H20)</f>
        <v>1</v>
      </c>
      <c r="K20" s="45">
        <v>3258509</v>
      </c>
      <c r="L20" s="45">
        <v>615680.30000000005</v>
      </c>
      <c r="M20" s="45">
        <v>1296445</v>
      </c>
      <c r="N20" s="45">
        <v>21394.71</v>
      </c>
      <c r="O20" s="144"/>
    </row>
    <row r="21" spans="1:15">
      <c r="A21" s="120">
        <v>44920</v>
      </c>
      <c r="B21" s="24">
        <v>44927</v>
      </c>
      <c r="C21" s="1">
        <f t="shared" si="20"/>
        <v>1.9629908373992628</v>
      </c>
      <c r="D21" s="25">
        <v>18</v>
      </c>
      <c r="E21" s="18">
        <f t="shared" ref="E21:E25" si="30">M21/SUM($K21:$N21)</f>
        <v>0.25252906016338977</v>
      </c>
      <c r="F21" s="18">
        <f t="shared" si="22"/>
        <v>0.62570679282922781</v>
      </c>
      <c r="G21" s="18">
        <f t="shared" si="23"/>
        <v>3.6235159077479691E-3</v>
      </c>
      <c r="H21" s="18">
        <f t="shared" si="24"/>
        <v>0.11814063109963445</v>
      </c>
      <c r="I21" s="17">
        <f t="shared" si="29"/>
        <v>1</v>
      </c>
      <c r="K21" s="45">
        <v>3170395</v>
      </c>
      <c r="L21" s="45">
        <v>598607</v>
      </c>
      <c r="M21" s="45">
        <v>1279540</v>
      </c>
      <c r="N21" s="45">
        <v>18360</v>
      </c>
      <c r="O21" s="144"/>
    </row>
    <row r="22" spans="1:15" ht="13" thickBot="1">
      <c r="A22" s="122">
        <v>45150</v>
      </c>
      <c r="B22" s="123">
        <v>45139</v>
      </c>
      <c r="C22" s="47">
        <f t="shared" ref="C22:C27" si="31">SUMPRODUCT(E22:H22,$E$1:$H$1)/SUM(E22:H22)</f>
        <v>2.0119551546567287</v>
      </c>
      <c r="D22" s="41">
        <v>19</v>
      </c>
      <c r="E22" s="124">
        <f t="shared" si="30"/>
        <v>0.27476373231185391</v>
      </c>
      <c r="F22" s="124">
        <f t="shared" si="22"/>
        <v>0.6102329516781041</v>
      </c>
      <c r="G22" s="124">
        <f>N22/SUM($K22:$N22)</f>
        <v>1.539713457176224E-3</v>
      </c>
      <c r="H22" s="124">
        <f t="shared" si="24"/>
        <v>0.11346360255286579</v>
      </c>
      <c r="I22" s="125">
        <f t="shared" si="29"/>
        <v>1</v>
      </c>
      <c r="J22" s="16"/>
      <c r="K22" s="126">
        <v>2518273.8755000001</v>
      </c>
      <c r="L22" s="126">
        <v>468235</v>
      </c>
      <c r="M22" s="126">
        <v>1133879</v>
      </c>
      <c r="N22" s="126">
        <v>6354</v>
      </c>
      <c r="O22" s="145"/>
    </row>
    <row r="23" spans="1:15">
      <c r="A23" s="120">
        <v>45262</v>
      </c>
      <c r="B23" s="24">
        <v>45261</v>
      </c>
      <c r="C23" s="1">
        <f t="shared" si="31"/>
        <v>2.0322220406727274</v>
      </c>
      <c r="D23" s="25">
        <v>20</v>
      </c>
      <c r="E23" s="18">
        <f t="shared" si="30"/>
        <v>0.28154395270045707</v>
      </c>
      <c r="F23" s="18">
        <f t="shared" ref="F23" si="32">K23/SUM($K23:$N23)</f>
        <v>0.60845530277750504</v>
      </c>
      <c r="G23" s="18">
        <f t="shared" ref="G23" si="33">N23/SUM($K23:$N23)</f>
        <v>1.6045744968505779E-3</v>
      </c>
      <c r="H23" s="18">
        <f t="shared" ref="H23" si="34">L23/SUM($K23:$N23)</f>
        <v>0.10839617002518738</v>
      </c>
      <c r="I23" s="17">
        <f t="shared" ref="I23" si="35">SUM(E23:H23)</f>
        <v>1</v>
      </c>
      <c r="K23" s="119">
        <f>189694321.2/1000</f>
        <v>189694.32119999998</v>
      </c>
      <c r="L23" s="45">
        <f>33793999/1000</f>
        <v>33793.999000000003</v>
      </c>
      <c r="M23" s="45">
        <f>87775205.1/1000</f>
        <v>87775.205099999992</v>
      </c>
      <c r="N23" s="45">
        <f>500248.2/1000</f>
        <v>500.2482</v>
      </c>
      <c r="O23" s="143" t="s">
        <v>65</v>
      </c>
    </row>
    <row r="24" spans="1:15">
      <c r="A24" s="120">
        <v>45374</v>
      </c>
      <c r="B24" s="24">
        <v>45383</v>
      </c>
      <c r="C24" s="1">
        <f t="shared" si="31"/>
        <v>2.0136636446599305</v>
      </c>
      <c r="D24" s="25">
        <v>21</v>
      </c>
      <c r="E24" s="18">
        <f t="shared" si="30"/>
        <v>0.27655924806659843</v>
      </c>
      <c r="F24" s="18">
        <f>K24/SUM($K24:$N24)</f>
        <v>0.60632601743942494</v>
      </c>
      <c r="G24" s="18">
        <f t="shared" ref="G24:G25" si="36">N24/SUM($K24:$N24)</f>
        <v>3.6006370337949845E-3</v>
      </c>
      <c r="H24" s="18">
        <f t="shared" ref="H24:H25" si="37">L24/SUM($K24:$N24)</f>
        <v>0.11351409746018165</v>
      </c>
      <c r="I24" s="17">
        <f t="shared" ref="I24:I25" si="38">SUM(E24:H24)</f>
        <v>1</v>
      </c>
      <c r="K24" s="45">
        <v>2484857.1073000003</v>
      </c>
      <c r="L24" s="45">
        <v>465205.6876</v>
      </c>
      <c r="M24" s="45">
        <v>1133400.503</v>
      </c>
      <c r="N24" s="45">
        <v>14756.2009</v>
      </c>
      <c r="O24" s="144"/>
    </row>
    <row r="25" spans="1:15">
      <c r="A25" s="120">
        <v>45486</v>
      </c>
      <c r="B25" s="24">
        <v>45505</v>
      </c>
      <c r="C25" s="1">
        <f t="shared" si="31"/>
        <v>2.0219659589682908</v>
      </c>
      <c r="D25" s="25">
        <v>22</v>
      </c>
      <c r="E25" s="18">
        <f t="shared" si="30"/>
        <v>0.27959697865244088</v>
      </c>
      <c r="F25" s="18">
        <f t="shared" ref="F25" si="39">K25/SUM($K25:$N25)</f>
        <v>0.60583822515546071</v>
      </c>
      <c r="G25" s="18">
        <f t="shared" si="36"/>
        <v>2.2167458902831228E-3</v>
      </c>
      <c r="H25" s="18">
        <f t="shared" si="37"/>
        <v>0.11234805030181529</v>
      </c>
      <c r="I25" s="17">
        <f t="shared" si="38"/>
        <v>1</v>
      </c>
      <c r="K25" s="45">
        <v>2450151.7403000002</v>
      </c>
      <c r="L25" s="45">
        <v>454361.84039999999</v>
      </c>
      <c r="M25" s="45">
        <v>1130755.6957999999</v>
      </c>
      <c r="N25" s="45">
        <v>8965.0398000000005</v>
      </c>
      <c r="O25" s="144"/>
    </row>
    <row r="26" spans="1:15">
      <c r="A26" s="120">
        <v>45682</v>
      </c>
      <c r="B26" s="24">
        <v>45689</v>
      </c>
      <c r="C26" s="1">
        <f t="shared" si="31"/>
        <v>2.0904334397513842</v>
      </c>
      <c r="D26" s="25">
        <v>23</v>
      </c>
      <c r="E26" s="18">
        <f>M26/SUM($K26:$N26)</f>
        <v>0.30839582683466815</v>
      </c>
      <c r="F26" s="18">
        <f>K26/SUM($K26:$N26)</f>
        <v>0.58745124131353688</v>
      </c>
      <c r="G26" s="18">
        <f>N26/SUM($K26:$N26)</f>
        <v>2.1840471242814538E-3</v>
      </c>
      <c r="H26" s="18">
        <f>L26/SUM($K26:$N26)</f>
        <v>0.10196888472751355</v>
      </c>
      <c r="I26" s="17">
        <f t="shared" ref="I26" si="40">SUM(E26:H26)</f>
        <v>1</v>
      </c>
      <c r="K26" s="45">
        <v>2234253.46</v>
      </c>
      <c r="L26" s="45">
        <v>387818.28600000002</v>
      </c>
      <c r="M26" s="45">
        <v>1172921.929</v>
      </c>
      <c r="N26" s="45">
        <v>8306.5869999999995</v>
      </c>
      <c r="O26" s="144"/>
    </row>
    <row r="27" spans="1:15">
      <c r="A27" s="120">
        <v>45738</v>
      </c>
      <c r="B27" s="24">
        <v>45748</v>
      </c>
      <c r="C27" s="1">
        <f t="shared" si="31"/>
        <v>2.0967690309503553</v>
      </c>
      <c r="D27" s="25">
        <v>24</v>
      </c>
      <c r="E27" s="18">
        <f>M27/SUM($K27:$N27)</f>
        <v>0.310925951899301</v>
      </c>
      <c r="F27" s="18">
        <f>K27/SUM($K27:$N27)</f>
        <v>0.58597864880915607</v>
      </c>
      <c r="G27" s="18">
        <f>N27/SUM($K27:$N27)</f>
        <v>2.2832848867578811E-3</v>
      </c>
      <c r="H27" s="18">
        <f>L27/SUM($K27:$N27)</f>
        <v>0.10081211440478507</v>
      </c>
      <c r="I27" s="17">
        <f t="shared" ref="I27" si="41">SUM(E27:H27)</f>
        <v>1</v>
      </c>
      <c r="K27" s="45">
        <v>2220407.4670000002</v>
      </c>
      <c r="L27" s="45">
        <v>382000.21799999999</v>
      </c>
      <c r="M27" s="45">
        <v>1178169.7279999999</v>
      </c>
      <c r="N27" s="45">
        <v>8651.89</v>
      </c>
      <c r="O27" s="144"/>
    </row>
    <row r="28" spans="1:15">
      <c r="A28" s="120">
        <v>45850</v>
      </c>
      <c r="B28" s="24">
        <v>45870</v>
      </c>
      <c r="C28" s="1">
        <f t="shared" ref="C28" si="42">SUMPRODUCT(E28:H28,$E$1:$H$1)/SUM(E28:H28)</f>
        <v>2.1109723905031581</v>
      </c>
      <c r="D28" s="25">
        <v>25</v>
      </c>
      <c r="E28" s="18">
        <f>M28/SUM($K28:$N28)</f>
        <v>0.31696306455053963</v>
      </c>
      <c r="F28" s="18">
        <f>K28/SUM($K28:$N28)</f>
        <v>0.58190306005989134</v>
      </c>
      <c r="G28" s="18">
        <f>N28/SUM($K28:$N28)</f>
        <v>2.5034165949965226E-3</v>
      </c>
      <c r="H28" s="18">
        <f>L28/SUM($K28:$N28)</f>
        <v>9.8630458794572551E-2</v>
      </c>
      <c r="I28" s="17">
        <f t="shared" ref="I28" si="43">SUM(E28:H28)</f>
        <v>1</v>
      </c>
      <c r="K28" s="45">
        <v>2184737</v>
      </c>
      <c r="L28" s="45">
        <v>370305</v>
      </c>
      <c r="M28" s="45">
        <v>1190028</v>
      </c>
      <c r="N28" s="45">
        <v>9399</v>
      </c>
      <c r="O28" s="144"/>
    </row>
    <row r="29" spans="1:15">
      <c r="A29" s="120">
        <v>45990</v>
      </c>
      <c r="B29" s="24">
        <v>45992</v>
      </c>
      <c r="C29" s="1">
        <f t="shared" ref="C29" si="44">SUMPRODUCT(E29:H29,$E$1:$H$1)/SUM(E29:H29)</f>
        <v>2.124214841057761</v>
      </c>
      <c r="D29" s="25">
        <v>26</v>
      </c>
      <c r="E29" s="18">
        <f>M29/SUM($K29:$N29)</f>
        <v>0.32205871881578929</v>
      </c>
      <c r="F29" s="18">
        <f>K29/SUM($K29:$N29)</f>
        <v>0.57923869482095902</v>
      </c>
      <c r="G29" s="18">
        <f>N29/SUM($K29:$N29)</f>
        <v>2.7036504117142063E-3</v>
      </c>
      <c r="H29" s="18">
        <f>L29/SUM($K29:$N29)</f>
        <v>9.5998935951537426E-2</v>
      </c>
      <c r="I29" s="17">
        <f t="shared" ref="I29" si="45">SUM(E29:H29)</f>
        <v>0.99999999999999989</v>
      </c>
      <c r="K29" s="45">
        <v>2155715</v>
      </c>
      <c r="L29" s="45">
        <v>357273</v>
      </c>
      <c r="M29" s="45">
        <v>1198585</v>
      </c>
      <c r="N29" s="45">
        <v>10062</v>
      </c>
      <c r="O29" s="144"/>
    </row>
    <row r="30" spans="1:15">
      <c r="O30" s="144"/>
    </row>
    <row r="31" spans="1:15">
      <c r="O31" s="144"/>
    </row>
    <row r="32" spans="1:15">
      <c r="O32" s="144"/>
    </row>
    <row r="33" spans="15:15">
      <c r="O33" s="144"/>
    </row>
    <row r="34" spans="15:15">
      <c r="O34" s="144"/>
    </row>
    <row r="35" spans="15:15">
      <c r="O35" s="144"/>
    </row>
    <row r="36" spans="15:15">
      <c r="O36" s="144"/>
    </row>
    <row r="37" spans="15:15">
      <c r="O37" s="145"/>
    </row>
  </sheetData>
  <mergeCells count="2">
    <mergeCell ref="O8:O22"/>
    <mergeCell ref="O23:O37"/>
  </mergeCells>
  <pageMargins left="0.7" right="0.7" top="0.75" bottom="0.75" header="0.3" footer="0.3"/>
  <pageSetup paperSize="9" orientation="portrait" r:id="rId1"/>
  <headerFooter>
    <oddHeader>&amp;C&amp;"Aptos"&amp;12&amp;K000000 OFFICIAL&amp;1#_x000D_</oddHeader>
  </headerFooter>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26"/>
  <sheetViews>
    <sheetView showGridLines="0" zoomScale="86" workbookViewId="0"/>
  </sheetViews>
  <sheetFormatPr defaultColWidth="11.453125" defaultRowHeight="15.5"/>
  <cols>
    <col min="1" max="1" width="26" style="84" customWidth="1"/>
    <col min="2" max="11" width="12.81640625" style="84" customWidth="1"/>
    <col min="12" max="16384" width="11.453125" style="84"/>
  </cols>
  <sheetData>
    <row r="1" spans="1:11" ht="15" customHeight="1" thickBot="1"/>
    <row r="2" spans="1:11">
      <c r="A2" s="85" t="s">
        <v>49</v>
      </c>
      <c r="B2" s="85"/>
      <c r="C2" s="85"/>
      <c r="D2" s="85"/>
      <c r="E2" s="85"/>
      <c r="F2" s="85"/>
      <c r="G2" s="85"/>
      <c r="H2" s="85"/>
      <c r="I2" s="85"/>
      <c r="J2" s="85"/>
      <c r="K2" s="85"/>
    </row>
    <row r="3" spans="1:11" s="86" customFormat="1" ht="51.75" customHeight="1">
      <c r="A3" s="147" t="s">
        <v>32</v>
      </c>
      <c r="B3" s="147"/>
      <c r="C3" s="147"/>
      <c r="D3" s="147"/>
      <c r="E3" s="147"/>
      <c r="F3" s="147"/>
      <c r="G3" s="147"/>
      <c r="H3" s="147"/>
      <c r="I3" s="147"/>
      <c r="J3" s="147"/>
      <c r="K3" s="147"/>
    </row>
    <row r="4" spans="1:11" s="86" customFormat="1" ht="28.5" customHeight="1">
      <c r="A4" s="86" t="s">
        <v>55</v>
      </c>
      <c r="B4" s="113"/>
      <c r="C4" s="113"/>
      <c r="D4" s="113"/>
      <c r="E4" s="113"/>
      <c r="F4" s="113"/>
      <c r="G4" s="113"/>
      <c r="H4" s="113"/>
      <c r="I4" s="113"/>
      <c r="J4" s="113"/>
      <c r="K4" s="113"/>
    </row>
    <row r="5" spans="1:11" ht="16" thickBot="1"/>
    <row r="6" spans="1:11">
      <c r="A6" s="85" t="s">
        <v>33</v>
      </c>
      <c r="B6" s="85"/>
      <c r="C6" s="85"/>
      <c r="D6" s="85"/>
      <c r="E6" s="85"/>
      <c r="F6" s="85"/>
      <c r="G6" s="85"/>
      <c r="H6" s="85"/>
      <c r="I6" s="85"/>
      <c r="J6" s="85"/>
      <c r="K6" s="85"/>
    </row>
    <row r="7" spans="1:11" ht="15" customHeight="1">
      <c r="A7" s="87"/>
      <c r="B7" s="87"/>
      <c r="C7" s="87"/>
      <c r="D7" s="87"/>
      <c r="E7" s="87"/>
      <c r="F7" s="87"/>
      <c r="G7" s="87"/>
      <c r="H7" s="87"/>
      <c r="I7" s="87"/>
      <c r="J7" s="87"/>
      <c r="K7" s="87"/>
    </row>
    <row r="8" spans="1:11" ht="13" customHeight="1">
      <c r="A8" s="148" t="s">
        <v>34</v>
      </c>
      <c r="B8" s="148"/>
      <c r="C8" s="148"/>
      <c r="D8" s="148"/>
      <c r="E8" s="148"/>
      <c r="F8" s="148"/>
      <c r="G8" s="148"/>
      <c r="H8" s="148"/>
      <c r="I8" s="148"/>
      <c r="J8" s="148"/>
      <c r="K8" s="148"/>
    </row>
    <row r="9" spans="1:11" ht="14.15" customHeight="1">
      <c r="A9" s="148"/>
      <c r="B9" s="148"/>
      <c r="C9" s="148"/>
      <c r="D9" s="148"/>
      <c r="E9" s="148"/>
      <c r="F9" s="148"/>
      <c r="G9" s="148"/>
      <c r="H9" s="148"/>
      <c r="I9" s="148"/>
      <c r="J9" s="148"/>
      <c r="K9" s="148"/>
    </row>
    <row r="10" spans="1:11">
      <c r="A10" s="148"/>
      <c r="B10" s="148"/>
      <c r="C10" s="148"/>
      <c r="D10" s="148"/>
      <c r="E10" s="148"/>
      <c r="F10" s="148"/>
      <c r="G10" s="148"/>
      <c r="H10" s="148"/>
      <c r="I10" s="148"/>
      <c r="J10" s="148"/>
      <c r="K10" s="148"/>
    </row>
    <row r="11" spans="1:11">
      <c r="A11" s="148"/>
      <c r="B11" s="148"/>
      <c r="C11" s="148"/>
      <c r="D11" s="148"/>
      <c r="E11" s="148"/>
      <c r="F11" s="148"/>
      <c r="G11" s="148"/>
      <c r="H11" s="148"/>
      <c r="I11" s="148"/>
      <c r="J11" s="148"/>
      <c r="K11" s="148"/>
    </row>
    <row r="12" spans="1:11" ht="15" customHeight="1">
      <c r="A12" s="148"/>
      <c r="B12" s="148"/>
      <c r="C12" s="148"/>
      <c r="D12" s="148"/>
      <c r="E12" s="148"/>
      <c r="F12" s="148"/>
      <c r="G12" s="148"/>
      <c r="H12" s="148"/>
      <c r="I12" s="148"/>
      <c r="J12" s="148"/>
      <c r="K12" s="148"/>
    </row>
    <row r="13" spans="1:11">
      <c r="A13" s="149" t="s">
        <v>70</v>
      </c>
      <c r="B13" s="149"/>
      <c r="C13" s="149"/>
      <c r="D13" s="149"/>
      <c r="E13" s="149"/>
      <c r="F13" s="149"/>
      <c r="G13" s="149"/>
      <c r="H13" s="149"/>
      <c r="I13" s="149"/>
      <c r="J13" s="149"/>
      <c r="K13" s="149"/>
    </row>
    <row r="14" spans="1:11" ht="16" thickBot="1">
      <c r="A14" s="88"/>
      <c r="B14" s="88"/>
      <c r="C14" s="88"/>
      <c r="D14" s="88"/>
      <c r="E14" s="88"/>
      <c r="F14" s="88"/>
      <c r="G14" s="88"/>
      <c r="H14" s="88"/>
      <c r="I14" s="88"/>
      <c r="J14" s="88"/>
      <c r="K14" s="88"/>
    </row>
    <row r="15" spans="1:11">
      <c r="A15" s="85" t="s">
        <v>35</v>
      </c>
      <c r="B15" s="85"/>
      <c r="C15" s="85"/>
      <c r="D15" s="85"/>
      <c r="E15" s="85"/>
      <c r="F15" s="85"/>
      <c r="G15" s="85"/>
      <c r="H15" s="85"/>
      <c r="I15" s="85"/>
      <c r="J15" s="85"/>
      <c r="K15" s="85"/>
    </row>
    <row r="16" spans="1:11" ht="15" customHeight="1">
      <c r="A16" s="87"/>
      <c r="B16" s="87"/>
      <c r="C16" s="87"/>
      <c r="D16" s="87"/>
      <c r="E16" s="87"/>
      <c r="F16" s="87"/>
      <c r="G16" s="87"/>
      <c r="H16" s="87"/>
      <c r="I16" s="87"/>
      <c r="J16" s="87"/>
      <c r="K16" s="87"/>
    </row>
    <row r="17" spans="1:11">
      <c r="A17" s="150" t="s">
        <v>51</v>
      </c>
      <c r="B17" s="148" t="s">
        <v>62</v>
      </c>
      <c r="C17" s="151"/>
      <c r="D17" s="151"/>
      <c r="E17" s="151"/>
      <c r="F17" s="151"/>
      <c r="G17" s="151"/>
      <c r="H17" s="151"/>
      <c r="I17" s="151"/>
      <c r="J17" s="151"/>
      <c r="K17" s="151"/>
    </row>
    <row r="18" spans="1:11">
      <c r="A18" s="150"/>
      <c r="B18" s="151"/>
      <c r="C18" s="151"/>
      <c r="D18" s="151"/>
      <c r="E18" s="151"/>
      <c r="F18" s="151"/>
      <c r="G18" s="151"/>
      <c r="H18" s="151"/>
      <c r="I18" s="151"/>
      <c r="J18" s="151"/>
      <c r="K18" s="151"/>
    </row>
    <row r="19" spans="1:11">
      <c r="A19" s="88"/>
      <c r="B19" s="151"/>
      <c r="C19" s="151"/>
      <c r="D19" s="151"/>
      <c r="E19" s="151"/>
      <c r="F19" s="151"/>
      <c r="G19" s="151"/>
      <c r="H19" s="151"/>
      <c r="I19" s="151"/>
      <c r="J19" s="151"/>
      <c r="K19" s="151"/>
    </row>
    <row r="20" spans="1:11">
      <c r="B20" s="151"/>
      <c r="C20" s="151"/>
      <c r="D20" s="151"/>
      <c r="E20" s="151"/>
      <c r="F20" s="151"/>
      <c r="G20" s="151"/>
      <c r="H20" s="151"/>
      <c r="I20" s="151"/>
      <c r="J20" s="151"/>
      <c r="K20" s="151"/>
    </row>
    <row r="21" spans="1:11">
      <c r="B21" s="151"/>
      <c r="C21" s="151"/>
      <c r="D21" s="151"/>
      <c r="E21" s="151"/>
      <c r="F21" s="151"/>
      <c r="G21" s="151"/>
      <c r="H21" s="151"/>
      <c r="I21" s="151"/>
      <c r="J21" s="151"/>
      <c r="K21" s="151"/>
    </row>
    <row r="22" spans="1:11">
      <c r="A22" s="89" t="s">
        <v>37</v>
      </c>
      <c r="B22" s="84" t="s">
        <v>38</v>
      </c>
    </row>
    <row r="23" spans="1:11">
      <c r="A23" s="90" t="s">
        <v>39</v>
      </c>
      <c r="B23" s="91" t="s">
        <v>52</v>
      </c>
      <c r="C23" s="91"/>
      <c r="D23" s="91"/>
      <c r="E23" s="91"/>
      <c r="F23" s="91"/>
      <c r="G23" s="91"/>
      <c r="H23" s="91"/>
      <c r="I23" s="91"/>
      <c r="J23" s="91"/>
      <c r="K23" s="91"/>
    </row>
    <row r="24" spans="1:11">
      <c r="A24" s="90" t="s">
        <v>41</v>
      </c>
      <c r="B24" s="146" t="s">
        <v>42</v>
      </c>
      <c r="C24" s="146"/>
      <c r="D24" s="146"/>
      <c r="E24" s="146"/>
      <c r="F24" s="146"/>
      <c r="G24" s="146"/>
      <c r="H24" s="146"/>
      <c r="I24" s="146"/>
      <c r="J24" s="146"/>
      <c r="K24" s="146"/>
    </row>
    <row r="25" spans="1:11" ht="15" customHeight="1" thickBot="1">
      <c r="A25" s="92"/>
      <c r="B25" s="93"/>
      <c r="C25" s="92"/>
      <c r="D25" s="92"/>
      <c r="E25" s="92"/>
      <c r="F25" s="92"/>
      <c r="G25" s="92"/>
      <c r="H25" s="92"/>
      <c r="I25" s="92"/>
      <c r="J25" s="92"/>
      <c r="K25" s="92"/>
    </row>
    <row r="26" spans="1:11">
      <c r="B26" s="94"/>
    </row>
  </sheetData>
  <mergeCells count="7">
    <mergeCell ref="B24:K24"/>
    <mergeCell ref="A3:K3"/>
    <mergeCell ref="A8:K12"/>
    <mergeCell ref="A13:I13"/>
    <mergeCell ref="J13:K13"/>
    <mergeCell ref="A17:A18"/>
    <mergeCell ref="B17:K21"/>
  </mergeCells>
  <hyperlinks>
    <hyperlink ref="B23" r:id="rId1" xr:uid="{00000000-0004-0000-0500-000000000000}"/>
    <hyperlink ref="B24:C24" r:id="rId2" display="ahdb.org.uk" xr:uid="{00000000-0004-0000-0500-000001000000}"/>
  </hyperlinks>
  <pageMargins left="0.7" right="0.7" top="0.75" bottom="0.75" header="0.3" footer="0.3"/>
  <pageSetup paperSize="9" orientation="portrait" r:id="rId3"/>
  <headerFooter>
    <oddHeader>&amp;C&amp;"Aptos"&amp;12&amp;K000000 OFFICIAL&amp;1#_x000D_</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36"/>
  <sheetViews>
    <sheetView showGridLines="0" workbookViewId="0">
      <selection activeCell="A31" sqref="A31"/>
    </sheetView>
  </sheetViews>
  <sheetFormatPr defaultColWidth="11.453125" defaultRowHeight="15.5"/>
  <cols>
    <col min="1" max="1" width="26" style="95" customWidth="1"/>
    <col min="2" max="11" width="12.81640625" style="95" customWidth="1"/>
    <col min="12" max="16384" width="11.453125" style="95"/>
  </cols>
  <sheetData>
    <row r="1" spans="1:11" ht="15" customHeight="1" thickBot="1"/>
    <row r="2" spans="1:11" s="84" customFormat="1">
      <c r="A2" s="85" t="s">
        <v>49</v>
      </c>
      <c r="B2" s="85"/>
      <c r="C2" s="85"/>
      <c r="D2" s="85"/>
      <c r="E2" s="85"/>
      <c r="F2" s="85"/>
      <c r="G2" s="85"/>
      <c r="H2" s="85"/>
      <c r="I2" s="85"/>
      <c r="J2" s="85"/>
      <c r="K2" s="85"/>
    </row>
    <row r="3" spans="1:11" s="86" customFormat="1" ht="51.75" customHeight="1">
      <c r="A3" s="147" t="s">
        <v>32</v>
      </c>
      <c r="B3" s="147"/>
      <c r="C3" s="147"/>
      <c r="D3" s="147"/>
      <c r="E3" s="147"/>
      <c r="F3" s="147"/>
      <c r="G3" s="147"/>
      <c r="H3" s="147"/>
      <c r="I3" s="147"/>
      <c r="J3" s="147"/>
      <c r="K3" s="147"/>
    </row>
    <row r="4" spans="1:11" s="84" customFormat="1" ht="16" thickBot="1"/>
    <row r="5" spans="1:11">
      <c r="A5" s="153" t="s">
        <v>33</v>
      </c>
      <c r="B5" s="153"/>
      <c r="C5" s="153"/>
      <c r="D5" s="153"/>
      <c r="E5" s="153"/>
      <c r="F5" s="153"/>
      <c r="G5" s="153"/>
      <c r="H5" s="153"/>
      <c r="I5" s="153"/>
      <c r="J5" s="153"/>
      <c r="K5" s="153"/>
    </row>
    <row r="6" spans="1:11" ht="15" customHeight="1">
      <c r="A6" s="96"/>
      <c r="B6" s="96"/>
      <c r="C6" s="96"/>
      <c r="D6" s="96"/>
      <c r="E6" s="96"/>
      <c r="F6" s="96"/>
      <c r="G6" s="96"/>
      <c r="H6" s="96"/>
      <c r="I6" s="96"/>
      <c r="J6" s="96"/>
      <c r="K6" s="96"/>
    </row>
    <row r="7" spans="1:11" s="97" customFormat="1" ht="16.399999999999999" customHeight="1">
      <c r="A7" s="154" t="s">
        <v>53</v>
      </c>
      <c r="B7" s="154"/>
      <c r="C7" s="154"/>
      <c r="D7" s="154"/>
      <c r="E7" s="154"/>
      <c r="F7" s="154"/>
      <c r="G7" s="154"/>
      <c r="H7" s="154"/>
      <c r="I7" s="154"/>
      <c r="J7" s="154"/>
      <c r="K7" s="154"/>
    </row>
    <row r="8" spans="1:11" s="97" customFormat="1" ht="15" customHeight="1">
      <c r="A8" s="98"/>
      <c r="B8" s="98"/>
      <c r="C8" s="98"/>
      <c r="D8" s="98"/>
      <c r="E8" s="98"/>
      <c r="F8" s="98"/>
      <c r="G8" s="98"/>
      <c r="H8" s="98"/>
      <c r="I8" s="98"/>
      <c r="J8" s="98"/>
      <c r="K8" s="98"/>
    </row>
    <row r="9" spans="1:11" s="97" customFormat="1" ht="13.4" customHeight="1">
      <c r="A9" s="154" t="s">
        <v>34</v>
      </c>
      <c r="B9" s="154"/>
      <c r="C9" s="154"/>
      <c r="D9" s="154"/>
      <c r="E9" s="154"/>
      <c r="F9" s="154"/>
      <c r="G9" s="154"/>
      <c r="H9" s="154"/>
      <c r="I9" s="154"/>
      <c r="J9" s="154"/>
      <c r="K9" s="154"/>
    </row>
    <row r="10" spans="1:11" s="97" customFormat="1" ht="13.4" customHeight="1">
      <c r="A10" s="154"/>
      <c r="B10" s="154"/>
      <c r="C10" s="154"/>
      <c r="D10" s="154"/>
      <c r="E10" s="154"/>
      <c r="F10" s="154"/>
      <c r="G10" s="154"/>
      <c r="H10" s="154"/>
      <c r="I10" s="154"/>
      <c r="J10" s="154"/>
      <c r="K10" s="154"/>
    </row>
    <row r="11" spans="1:11" s="97" customFormat="1" ht="13.4" customHeight="1">
      <c r="A11" s="154"/>
      <c r="B11" s="154"/>
      <c r="C11" s="154"/>
      <c r="D11" s="154"/>
      <c r="E11" s="154"/>
      <c r="F11" s="154"/>
      <c r="G11" s="154"/>
      <c r="H11" s="154"/>
      <c r="I11" s="154"/>
      <c r="J11" s="154"/>
      <c r="K11" s="154"/>
    </row>
    <row r="12" spans="1:11" s="97" customFormat="1" ht="13.4" customHeight="1">
      <c r="A12" s="154"/>
      <c r="B12" s="154"/>
      <c r="C12" s="154"/>
      <c r="D12" s="154"/>
      <c r="E12" s="154"/>
      <c r="F12" s="154"/>
      <c r="G12" s="154"/>
      <c r="H12" s="154"/>
      <c r="I12" s="154"/>
      <c r="J12" s="154"/>
      <c r="K12" s="154"/>
    </row>
    <row r="13" spans="1:11" s="97" customFormat="1">
      <c r="A13" s="154"/>
      <c r="B13" s="154"/>
      <c r="C13" s="154"/>
      <c r="D13" s="154"/>
      <c r="E13" s="154"/>
      <c r="F13" s="154"/>
      <c r="G13" s="154"/>
      <c r="H13" s="154"/>
      <c r="I13" s="154"/>
      <c r="J13" s="154"/>
      <c r="K13" s="154"/>
    </row>
    <row r="14" spans="1:11" s="97" customFormat="1">
      <c r="A14" s="99"/>
      <c r="B14" s="99"/>
      <c r="C14" s="99"/>
      <c r="D14" s="99"/>
      <c r="E14" s="99"/>
      <c r="F14" s="99"/>
      <c r="G14" s="99"/>
      <c r="H14" s="99"/>
      <c r="I14" s="99"/>
      <c r="J14" s="99"/>
      <c r="K14" s="99"/>
    </row>
    <row r="15" spans="1:11" s="97" customFormat="1" ht="17.149999999999999" customHeight="1">
      <c r="A15" s="154"/>
      <c r="B15" s="154"/>
      <c r="C15" s="154"/>
      <c r="D15" s="154"/>
      <c r="E15" s="154"/>
      <c r="F15" s="154"/>
      <c r="G15" s="154"/>
      <c r="H15" s="154"/>
      <c r="I15" s="154"/>
      <c r="J15" s="154"/>
      <c r="K15" s="154"/>
    </row>
    <row r="16" spans="1:11" s="97" customFormat="1" ht="15" customHeight="1">
      <c r="A16" s="154" t="s">
        <v>54</v>
      </c>
      <c r="B16" s="154"/>
      <c r="C16" s="154"/>
      <c r="D16" s="154"/>
      <c r="E16" s="154"/>
      <c r="F16" s="154"/>
      <c r="G16" s="154"/>
      <c r="H16" s="154"/>
      <c r="I16" s="154"/>
      <c r="J16" s="154"/>
      <c r="K16" s="154"/>
    </row>
    <row r="17" spans="1:11" ht="15" customHeight="1" thickBot="1">
      <c r="A17" s="100"/>
      <c r="B17" s="100"/>
      <c r="C17" s="100"/>
      <c r="D17" s="100"/>
      <c r="E17" s="100"/>
      <c r="F17" s="100"/>
      <c r="G17" s="100"/>
      <c r="H17" s="100"/>
      <c r="I17" s="100"/>
      <c r="J17" s="100"/>
      <c r="K17" s="100"/>
    </row>
    <row r="18" spans="1:11">
      <c r="A18" s="153" t="s">
        <v>35</v>
      </c>
      <c r="B18" s="153"/>
      <c r="C18" s="153"/>
      <c r="D18" s="153"/>
      <c r="E18" s="153"/>
      <c r="F18" s="153"/>
      <c r="G18" s="153"/>
      <c r="H18" s="153"/>
      <c r="I18" s="153"/>
      <c r="J18" s="153"/>
      <c r="K18" s="153"/>
    </row>
    <row r="19" spans="1:11" ht="15" customHeight="1">
      <c r="A19" s="96"/>
      <c r="B19" s="96"/>
      <c r="C19" s="96"/>
      <c r="D19" s="96"/>
      <c r="E19" s="96"/>
      <c r="F19" s="96"/>
      <c r="G19" s="96"/>
      <c r="H19" s="96"/>
      <c r="I19" s="96"/>
      <c r="J19" s="96"/>
      <c r="K19" s="96"/>
    </row>
    <row r="20" spans="1:11">
      <c r="A20" s="155" t="s">
        <v>51</v>
      </c>
      <c r="B20" s="156" t="s">
        <v>36</v>
      </c>
      <c r="C20" s="157"/>
      <c r="D20" s="157"/>
      <c r="E20" s="157"/>
      <c r="F20" s="157"/>
      <c r="G20" s="157"/>
      <c r="H20" s="157"/>
      <c r="I20" s="157"/>
      <c r="J20" s="157"/>
      <c r="K20" s="157"/>
    </row>
    <row r="21" spans="1:11">
      <c r="A21" s="155"/>
      <c r="B21" s="157"/>
      <c r="C21" s="157"/>
      <c r="D21" s="157"/>
      <c r="E21" s="157"/>
      <c r="F21" s="157"/>
      <c r="G21" s="157"/>
      <c r="H21" s="157"/>
      <c r="I21" s="157"/>
      <c r="J21" s="157"/>
      <c r="K21" s="157"/>
    </row>
    <row r="22" spans="1:11">
      <c r="A22" s="100"/>
      <c r="B22" s="157"/>
      <c r="C22" s="157"/>
      <c r="D22" s="157"/>
      <c r="E22" s="157"/>
      <c r="F22" s="157"/>
      <c r="G22" s="157"/>
      <c r="H22" s="157"/>
      <c r="I22" s="157"/>
      <c r="J22" s="157"/>
      <c r="K22" s="157"/>
    </row>
    <row r="23" spans="1:11">
      <c r="B23" s="157"/>
      <c r="C23" s="157"/>
      <c r="D23" s="157"/>
      <c r="E23" s="157"/>
      <c r="F23" s="157"/>
      <c r="G23" s="157"/>
      <c r="H23" s="157"/>
      <c r="I23" s="157"/>
      <c r="J23" s="157"/>
      <c r="K23" s="157"/>
    </row>
    <row r="24" spans="1:11">
      <c r="B24" s="157"/>
      <c r="C24" s="157"/>
      <c r="D24" s="157"/>
      <c r="E24" s="157"/>
      <c r="F24" s="157"/>
      <c r="G24" s="157"/>
      <c r="H24" s="157"/>
      <c r="I24" s="157"/>
      <c r="J24" s="157"/>
      <c r="K24" s="157"/>
    </row>
    <row r="25" spans="1:11">
      <c r="A25" s="101" t="s">
        <v>37</v>
      </c>
      <c r="B25" s="95" t="s">
        <v>38</v>
      </c>
    </row>
    <row r="26" spans="1:11">
      <c r="A26" s="102" t="s">
        <v>39</v>
      </c>
      <c r="B26" s="103" t="s">
        <v>40</v>
      </c>
      <c r="C26" s="103"/>
      <c r="D26" s="103"/>
      <c r="E26" s="103"/>
      <c r="F26" s="103"/>
      <c r="G26" s="103"/>
      <c r="H26" s="103"/>
      <c r="I26" s="103"/>
      <c r="J26" s="103"/>
      <c r="K26" s="103"/>
    </row>
    <row r="27" spans="1:11">
      <c r="A27" s="102" t="s">
        <v>41</v>
      </c>
      <c r="B27" s="158" t="s">
        <v>42</v>
      </c>
      <c r="C27" s="158"/>
      <c r="D27" s="158"/>
      <c r="E27" s="158"/>
      <c r="F27" s="158"/>
      <c r="G27" s="158"/>
      <c r="H27" s="158"/>
      <c r="I27" s="158"/>
      <c r="J27" s="158"/>
      <c r="K27" s="158"/>
    </row>
    <row r="28" spans="1:11" ht="15" customHeight="1" thickBot="1">
      <c r="A28" s="104"/>
      <c r="B28" s="152"/>
      <c r="C28" s="152"/>
      <c r="D28" s="152"/>
      <c r="E28" s="152"/>
      <c r="F28" s="152"/>
      <c r="G28" s="152"/>
      <c r="H28" s="152"/>
      <c r="I28" s="152"/>
      <c r="J28" s="152"/>
      <c r="K28" s="152"/>
    </row>
    <row r="36" spans="1:11">
      <c r="A36" s="105"/>
      <c r="B36" s="105"/>
      <c r="C36" s="105"/>
      <c r="D36" s="105"/>
      <c r="E36" s="105"/>
      <c r="F36" s="105"/>
      <c r="G36" s="105"/>
      <c r="H36" s="105"/>
      <c r="I36" s="105"/>
      <c r="J36" s="105"/>
      <c r="K36" s="105"/>
    </row>
  </sheetData>
  <mergeCells count="11">
    <mergeCell ref="A3:K3"/>
    <mergeCell ref="B28:K28"/>
    <mergeCell ref="A5:K5"/>
    <mergeCell ref="A7:K7"/>
    <mergeCell ref="A9:K13"/>
    <mergeCell ref="A15:K15"/>
    <mergeCell ref="A16:K16"/>
    <mergeCell ref="A18:K18"/>
    <mergeCell ref="A20:A21"/>
    <mergeCell ref="B20:K24"/>
    <mergeCell ref="B27:K27"/>
  </mergeCells>
  <hyperlinks>
    <hyperlink ref="B26" r:id="rId1" xr:uid="{00000000-0004-0000-0600-000000000000}"/>
    <hyperlink ref="B27:C27" r:id="rId2" display="ahdb.org.uk" xr:uid="{00000000-0004-0000-0600-000001000000}"/>
  </hyperlinks>
  <pageMargins left="0.7" right="0.7" top="0.75" bottom="0.75" header="0.3" footer="0.3"/>
  <pageSetup paperSize="9" orientation="portrait" r:id="rId3"/>
  <headerFooter>
    <oddHeader>&amp;C&amp;"Aptos"&amp;12&amp;K000000 OFFICIAL&amp;1#_x000D_</oddHeader>
  </headerFooter>
  <drawing r:id="rId4"/>
</worksheet>
</file>

<file path=docMetadata/LabelInfo.xml><?xml version="1.0" encoding="utf-8"?>
<clbl:labelList xmlns:clbl="http://schemas.microsoft.com/office/2020/mipLabelMetadata">
  <clbl:label id="{775d0ceb-c2af-4360-b5b9-28d8bcd5c08e}" enabled="1" method="Standard" siteId="{a12ce54b-3d3d-4346-95ef-ff13ca5dd47d}" contentBits="1"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Cream income</vt:lpstr>
      <vt:lpstr>Chart</vt:lpstr>
      <vt:lpstr>Table</vt:lpstr>
      <vt:lpstr>Calculation - HIDE</vt:lpstr>
      <vt:lpstr>Retail weightings - HIDE</vt:lpstr>
      <vt:lpstr>Disclaimer and notes</vt:lpstr>
      <vt:lpstr>Disclaimer and notes - ISO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richard</dc:creator>
  <cp:lastModifiedBy>Soumya Behera</cp:lastModifiedBy>
  <cp:lastPrinted>2008-05-29T08:26:23Z</cp:lastPrinted>
  <dcterms:created xsi:type="dcterms:W3CDTF">2004-08-17T08:21:52Z</dcterms:created>
  <dcterms:modified xsi:type="dcterms:W3CDTF">2026-04-24T13:26:59Z</dcterms:modified>
</cp:coreProperties>
</file>